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ld E\Finance\Backup\Power Final Acts 17-18\Final\"/>
    </mc:Choice>
  </mc:AlternateContent>
  <bookViews>
    <workbookView xWindow="-120" yWindow="-120" windowWidth="20730" windowHeight="11160" tabRatio="893" activeTab="3"/>
  </bookViews>
  <sheets>
    <sheet name="ARR-ORDER" sheetId="93" r:id="rId1"/>
    <sheet name="D11-ARR-FY18" sheetId="94" r:id="rId2"/>
    <sheet name="D21-ERC-FY18" sheetId="95" r:id="rId3"/>
    <sheet name="D21-ERC-FY18-P1" sheetId="98" r:id="rId4"/>
    <sheet name="D21-ERC-FY18-P23" sheetId="99" r:id="rId5"/>
    <sheet name="D21-ERC-FY18-P5" sheetId="100" r:id="rId6"/>
    <sheet name="D24- NTI" sheetId="96" r:id="rId7"/>
    <sheet name="D27 FY17 GRANTS" sheetId="101" r:id="rId8"/>
    <sheet name="D31-FY17-PPURCHASE" sheetId="102" r:id="rId9"/>
    <sheet name="D34 FY18 O&amp;M" sheetId="103" r:id="rId10"/>
    <sheet name="D35 FY18 DEPR" sheetId="104" r:id="rId11"/>
    <sheet name="D36 FY18 I&amp;F" sheetId="105" r:id="rId12"/>
    <sheet name="D37 FY18 IWC" sheetId="106" r:id="rId13"/>
    <sheet name="D38 FY18 ROI" sheetId="107" r:id="rId14"/>
    <sheet name="D41 FY18 CAPEX" sheetId="108" r:id="rId15"/>
    <sheet name="D42 FY18 FA" sheetId="109" r:id="rId16"/>
    <sheet name="D43 FY18 GEN" sheetId="110" r:id="rId17"/>
    <sheet name="D62 FY18 LOSS" sheetId="111" r:id="rId18"/>
    <sheet name="D61 FY18 PERF" sheetId="112" r:id="rId19"/>
    <sheet name="D71 FY18 SALES P1" sheetId="113" r:id="rId20"/>
    <sheet name="D71 FY18 SALES P2_3" sheetId="117" r:id="rId21"/>
    <sheet name="D71 FY18 SALES P5" sheetId="115" r:id="rId22"/>
    <sheet name="D73 Coll. Effy" sheetId="42" r:id="rId23"/>
    <sheet name="DP&amp;L FY18" sheetId="116" r:id="rId24"/>
    <sheet name="D BS FY18" sheetId="48" r:id="rId25"/>
    <sheet name="D CF FY18" sheetId="49" r:id="rId26"/>
    <sheet name="Cash Flow (AS)" sheetId="92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24">'D BS FY18'!$B$1:$G$51</definedName>
    <definedName name="_xlnm.Print_Area" localSheetId="25">'D CF FY18'!$B$2:$G$73</definedName>
    <definedName name="_xlnm.Print_Area" localSheetId="1">'D11-ARR-FY18'!$B$2:$G$41</definedName>
    <definedName name="_xlnm.Print_Area" localSheetId="2">'D21-ERC-FY18'!$A$1:$R$31</definedName>
    <definedName name="_xlnm.Print_Area" localSheetId="3">'D21-ERC-FY18-P1'!$A$1:$R$31</definedName>
    <definedName name="_xlnm.Print_Area" localSheetId="4">'D21-ERC-FY18-P23'!$A$1:$R$31</definedName>
    <definedName name="_xlnm.Print_Area" localSheetId="5">'D21-ERC-FY18-P5'!$A$1:$R$31</definedName>
    <definedName name="_xlnm.Print_Area" localSheetId="9">'D34 FY18 O&amp;M'!$A$1:$G$67</definedName>
    <definedName name="_xlnm.Print_Area" localSheetId="14">'D41 FY18 CAPEX'!$A$1:$L$10</definedName>
    <definedName name="_xlnm.Print_Area" localSheetId="15">'D42 FY18 FA'!$B$2:$F$23</definedName>
    <definedName name="_xlnm.Print_Area" localSheetId="19">'D71 FY18 SALES P1'!$B$2:$P$31</definedName>
    <definedName name="_xlnm.Print_Area" localSheetId="20">'D71 FY18 SALES P2_3'!$A$1:$O$24</definedName>
    <definedName name="_xlnm.Print_Area" localSheetId="22">'D73 Coll. Effy'!$B$2:$I$30</definedName>
    <definedName name="_xlnm.Print_Area" localSheetId="23">'DP&amp;L FY18'!$B$2:$G$51</definedName>
  </definedNames>
  <calcPr calcId="152511"/>
</workbook>
</file>

<file path=xl/calcChain.xml><?xml version="1.0" encoding="utf-8"?>
<calcChain xmlns="http://schemas.openxmlformats.org/spreadsheetml/2006/main">
  <c r="E27" i="116" l="1"/>
  <c r="D11" i="96"/>
  <c r="E11" i="109" l="1"/>
  <c r="D39" i="103"/>
  <c r="F21" i="99" l="1"/>
  <c r="F5" i="99"/>
  <c r="P30" i="115" l="1"/>
  <c r="O30" i="115"/>
  <c r="N30" i="115"/>
  <c r="M30" i="115"/>
  <c r="L30" i="115"/>
  <c r="K30" i="115"/>
  <c r="J30" i="115"/>
  <c r="I30" i="115"/>
  <c r="H30" i="115"/>
  <c r="G30" i="115"/>
  <c r="F30" i="115"/>
  <c r="E30" i="115"/>
  <c r="D30" i="115"/>
  <c r="N17" i="117" l="1"/>
  <c r="M17" i="117"/>
  <c r="L17" i="117"/>
  <c r="K17" i="117"/>
  <c r="J17" i="117"/>
  <c r="I17" i="117"/>
  <c r="H17" i="117"/>
  <c r="G17" i="117"/>
  <c r="F17" i="117"/>
  <c r="E17" i="117"/>
  <c r="D17" i="117"/>
  <c r="C17" i="117"/>
  <c r="N16" i="117"/>
  <c r="M16" i="117"/>
  <c r="L16" i="117"/>
  <c r="K16" i="117"/>
  <c r="J16" i="117"/>
  <c r="I16" i="117"/>
  <c r="H16" i="117"/>
  <c r="G16" i="117"/>
  <c r="F16" i="117"/>
  <c r="E16" i="117"/>
  <c r="D16" i="117"/>
  <c r="C16" i="117"/>
  <c r="N15" i="117"/>
  <c r="M15" i="117"/>
  <c r="L15" i="117"/>
  <c r="K15" i="117"/>
  <c r="J15" i="117"/>
  <c r="I15" i="117"/>
  <c r="H15" i="117"/>
  <c r="G15" i="117"/>
  <c r="F15" i="117"/>
  <c r="E15" i="117"/>
  <c r="D15" i="117"/>
  <c r="C15" i="117"/>
  <c r="N14" i="117"/>
  <c r="M14" i="117"/>
  <c r="L14" i="117"/>
  <c r="K14" i="117"/>
  <c r="J14" i="117"/>
  <c r="I14" i="117"/>
  <c r="H14" i="117"/>
  <c r="G14" i="117"/>
  <c r="F14" i="117"/>
  <c r="E14" i="117"/>
  <c r="D14" i="117"/>
  <c r="C14" i="117"/>
  <c r="N13" i="117"/>
  <c r="M13" i="117"/>
  <c r="L13" i="117"/>
  <c r="K13" i="117"/>
  <c r="J13" i="117"/>
  <c r="I13" i="117"/>
  <c r="H13" i="117"/>
  <c r="G13" i="117"/>
  <c r="F13" i="117"/>
  <c r="E13" i="117"/>
  <c r="D13" i="117"/>
  <c r="C13" i="117"/>
  <c r="N12" i="117"/>
  <c r="M12" i="117"/>
  <c r="L12" i="117"/>
  <c r="K12" i="117"/>
  <c r="J12" i="117"/>
  <c r="I12" i="117"/>
  <c r="H12" i="117"/>
  <c r="G12" i="117"/>
  <c r="F12" i="117"/>
  <c r="E12" i="117"/>
  <c r="D12" i="117"/>
  <c r="C12" i="117"/>
  <c r="N11" i="117"/>
  <c r="M11" i="117"/>
  <c r="L11" i="117"/>
  <c r="K11" i="117"/>
  <c r="J11" i="117"/>
  <c r="I11" i="117"/>
  <c r="H11" i="117"/>
  <c r="G11" i="117"/>
  <c r="F11" i="117"/>
  <c r="E11" i="117"/>
  <c r="D11" i="117"/>
  <c r="C11" i="117"/>
  <c r="N10" i="117"/>
  <c r="M10" i="117"/>
  <c r="L10" i="117"/>
  <c r="K10" i="117"/>
  <c r="J10" i="117"/>
  <c r="I10" i="117"/>
  <c r="H10" i="117"/>
  <c r="G10" i="117"/>
  <c r="F10" i="117"/>
  <c r="E10" i="117"/>
  <c r="D10" i="117"/>
  <c r="C10" i="117"/>
  <c r="N9" i="117"/>
  <c r="M9" i="117"/>
  <c r="L9" i="117"/>
  <c r="K9" i="117"/>
  <c r="J9" i="117"/>
  <c r="I9" i="117"/>
  <c r="H9" i="117"/>
  <c r="G9" i="117"/>
  <c r="F9" i="117"/>
  <c r="E9" i="117"/>
  <c r="D9" i="117"/>
  <c r="C9" i="117"/>
  <c r="N8" i="117"/>
  <c r="M8" i="117"/>
  <c r="L8" i="117"/>
  <c r="K8" i="117"/>
  <c r="J8" i="117"/>
  <c r="I8" i="117"/>
  <c r="H8" i="117"/>
  <c r="G8" i="117"/>
  <c r="F8" i="117"/>
  <c r="E8" i="117"/>
  <c r="D8" i="117"/>
  <c r="C8" i="117"/>
  <c r="N7" i="117"/>
  <c r="M7" i="117"/>
  <c r="L7" i="117"/>
  <c r="K7" i="117"/>
  <c r="J7" i="117"/>
  <c r="I7" i="117"/>
  <c r="H7" i="117"/>
  <c r="G7" i="117"/>
  <c r="F7" i="117"/>
  <c r="E7" i="117"/>
  <c r="D7" i="117"/>
  <c r="C7" i="117"/>
  <c r="N6" i="117"/>
  <c r="M6" i="117"/>
  <c r="M18" i="117" s="1"/>
  <c r="L6" i="117"/>
  <c r="L18" i="117" s="1"/>
  <c r="K6" i="117"/>
  <c r="K18" i="117" s="1"/>
  <c r="J6" i="117"/>
  <c r="J18" i="117" s="1"/>
  <c r="I6" i="117"/>
  <c r="I18" i="117" s="1"/>
  <c r="H6" i="117"/>
  <c r="G6" i="117"/>
  <c r="G18" i="117" s="1"/>
  <c r="F6" i="117"/>
  <c r="F18" i="117" s="1"/>
  <c r="E6" i="117"/>
  <c r="E18" i="117" s="1"/>
  <c r="D6" i="117"/>
  <c r="D18" i="117" s="1"/>
  <c r="C6" i="117"/>
  <c r="C18" i="117" s="1"/>
  <c r="O21" i="117"/>
  <c r="O20" i="117"/>
  <c r="N19" i="117"/>
  <c r="N22" i="117" s="1"/>
  <c r="M19" i="117"/>
  <c r="M22" i="117" s="1"/>
  <c r="M23" i="117" s="1"/>
  <c r="L19" i="117"/>
  <c r="L22" i="117" s="1"/>
  <c r="K19" i="117"/>
  <c r="K22" i="117" s="1"/>
  <c r="J19" i="117"/>
  <c r="J22" i="117" s="1"/>
  <c r="I19" i="117"/>
  <c r="I22" i="117" s="1"/>
  <c r="H19" i="117"/>
  <c r="H22" i="117" s="1"/>
  <c r="G19" i="117"/>
  <c r="G22" i="117" s="1"/>
  <c r="F19" i="117"/>
  <c r="F22" i="117" s="1"/>
  <c r="E19" i="117"/>
  <c r="E22" i="117" s="1"/>
  <c r="D19" i="117"/>
  <c r="D22" i="117" s="1"/>
  <c r="C19" i="117"/>
  <c r="C22" i="117" s="1"/>
  <c r="E14" i="110"/>
  <c r="N18" i="117" l="1"/>
  <c r="E23" i="117"/>
  <c r="I23" i="117"/>
  <c r="F23" i="117"/>
  <c r="J23" i="117"/>
  <c r="N23" i="117"/>
  <c r="C23" i="117"/>
  <c r="G23" i="117"/>
  <c r="K23" i="117"/>
  <c r="D23" i="117"/>
  <c r="L23" i="117"/>
  <c r="H18" i="117"/>
  <c r="H23" i="117" s="1"/>
  <c r="O6" i="117"/>
  <c r="O7" i="117"/>
  <c r="O8" i="117"/>
  <c r="O9" i="117"/>
  <c r="O10" i="117"/>
  <c r="O11" i="117"/>
  <c r="O12" i="117"/>
  <c r="O13" i="117"/>
  <c r="O14" i="117"/>
  <c r="O15" i="117"/>
  <c r="O16" i="117"/>
  <c r="O17" i="117"/>
  <c r="O19" i="117"/>
  <c r="O22" i="117" s="1"/>
  <c r="K7" i="108"/>
  <c r="G9" i="108"/>
  <c r="K9" i="108" s="1"/>
  <c r="G8" i="108"/>
  <c r="K8" i="108" s="1"/>
  <c r="G7" i="108"/>
  <c r="O18" i="117" l="1"/>
  <c r="O23" i="117" s="1"/>
  <c r="F9" i="42" l="1"/>
  <c r="E9" i="42"/>
  <c r="F8" i="42"/>
  <c r="E8" i="42"/>
  <c r="F7" i="42"/>
  <c r="E7" i="42"/>
  <c r="F28" i="42"/>
  <c r="E28" i="42"/>
  <c r="F27" i="42"/>
  <c r="E27" i="42"/>
  <c r="G27" i="42" s="1"/>
  <c r="F25" i="42"/>
  <c r="G25" i="42" s="1"/>
  <c r="H25" i="42" s="1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E24" i="42"/>
  <c r="E23" i="42"/>
  <c r="G23" i="42" s="1"/>
  <c r="E22" i="42"/>
  <c r="G22" i="42" s="1"/>
  <c r="E21" i="42"/>
  <c r="E20" i="42"/>
  <c r="E19" i="42"/>
  <c r="G19" i="42" s="1"/>
  <c r="E18" i="42"/>
  <c r="G18" i="42" s="1"/>
  <c r="E17" i="42"/>
  <c r="E16" i="42"/>
  <c r="E15" i="42"/>
  <c r="G15" i="42" s="1"/>
  <c r="E14" i="42"/>
  <c r="G14" i="42" s="1"/>
  <c r="E13" i="42"/>
  <c r="E12" i="42"/>
  <c r="E11" i="42"/>
  <c r="G11" i="42" s="1"/>
  <c r="D26" i="42"/>
  <c r="G17" i="42" l="1"/>
  <c r="G21" i="42"/>
  <c r="G13" i="42"/>
  <c r="G8" i="42"/>
  <c r="G12" i="42"/>
  <c r="G16" i="42"/>
  <c r="G20" i="42"/>
  <c r="G24" i="42"/>
  <c r="F26" i="42"/>
  <c r="G7" i="42"/>
  <c r="G9" i="42"/>
  <c r="E26" i="42"/>
  <c r="G28" i="42"/>
  <c r="P25" i="95" l="1"/>
  <c r="P24" i="95"/>
  <c r="P23" i="95"/>
  <c r="O25" i="95"/>
  <c r="O26" i="95" s="1"/>
  <c r="O24" i="95"/>
  <c r="O23" i="95"/>
  <c r="P21" i="95"/>
  <c r="O21" i="95"/>
  <c r="P20" i="95"/>
  <c r="O20" i="95"/>
  <c r="P19" i="95"/>
  <c r="O19" i="95"/>
  <c r="P18" i="95"/>
  <c r="O18" i="95"/>
  <c r="P17" i="95"/>
  <c r="O17" i="95"/>
  <c r="P16" i="95"/>
  <c r="O16" i="95"/>
  <c r="P15" i="95"/>
  <c r="O15" i="95"/>
  <c r="P14" i="95"/>
  <c r="O14" i="95"/>
  <c r="P13" i="95"/>
  <c r="O13" i="95"/>
  <c r="P12" i="95"/>
  <c r="O12" i="95"/>
  <c r="P11" i="95"/>
  <c r="O11" i="95"/>
  <c r="P10" i="95"/>
  <c r="O10" i="95"/>
  <c r="P9" i="95"/>
  <c r="O9" i="95"/>
  <c r="P8" i="95"/>
  <c r="O8" i="95"/>
  <c r="P7" i="95"/>
  <c r="O7" i="95"/>
  <c r="P6" i="95"/>
  <c r="O6" i="95"/>
  <c r="P5" i="95"/>
  <c r="O5" i="95"/>
  <c r="O22" i="95" s="1"/>
  <c r="N25" i="95"/>
  <c r="N24" i="95"/>
  <c r="N23" i="95"/>
  <c r="N21" i="95"/>
  <c r="N20" i="95"/>
  <c r="N19" i="95"/>
  <c r="N18" i="95"/>
  <c r="N17" i="95"/>
  <c r="N16" i="95"/>
  <c r="N15" i="95"/>
  <c r="N14" i="95"/>
  <c r="N13" i="95"/>
  <c r="N12" i="95"/>
  <c r="N11" i="95"/>
  <c r="N10" i="95"/>
  <c r="N9" i="95"/>
  <c r="N8" i="95"/>
  <c r="N7" i="95"/>
  <c r="N6" i="95"/>
  <c r="N5" i="95"/>
  <c r="N22" i="95" s="1"/>
  <c r="K21" i="95"/>
  <c r="K20" i="95"/>
  <c r="K19" i="95"/>
  <c r="K18" i="95"/>
  <c r="L18" i="95" s="1"/>
  <c r="Q18" i="95" s="1"/>
  <c r="K17" i="95"/>
  <c r="K16" i="95"/>
  <c r="K15" i="95"/>
  <c r="K14" i="95"/>
  <c r="L14" i="95" s="1"/>
  <c r="Q14" i="95" s="1"/>
  <c r="K13" i="95"/>
  <c r="K12" i="95"/>
  <c r="K11" i="95"/>
  <c r="K10" i="95"/>
  <c r="L10" i="95" s="1"/>
  <c r="Q10" i="95" s="1"/>
  <c r="K9" i="95"/>
  <c r="K8" i="95"/>
  <c r="K7" i="95"/>
  <c r="K6" i="95"/>
  <c r="L6" i="95" s="1"/>
  <c r="Q6" i="95" s="1"/>
  <c r="K5" i="95"/>
  <c r="K25" i="95"/>
  <c r="K24" i="95"/>
  <c r="L24" i="95" s="1"/>
  <c r="Q24" i="95" s="1"/>
  <c r="K23" i="95"/>
  <c r="K26" i="95" s="1"/>
  <c r="I25" i="95"/>
  <c r="I24" i="95"/>
  <c r="I23" i="95"/>
  <c r="I21" i="95"/>
  <c r="I20" i="95"/>
  <c r="I19" i="95"/>
  <c r="I18" i="95"/>
  <c r="I17" i="95"/>
  <c r="I16" i="95"/>
  <c r="I15" i="95"/>
  <c r="I14" i="95"/>
  <c r="I13" i="95"/>
  <c r="I12" i="95"/>
  <c r="I11" i="95"/>
  <c r="I10" i="95"/>
  <c r="I9" i="95"/>
  <c r="I8" i="95"/>
  <c r="I7" i="95"/>
  <c r="I6" i="95"/>
  <c r="I5" i="95"/>
  <c r="F25" i="95"/>
  <c r="F24" i="95"/>
  <c r="F23" i="95"/>
  <c r="F21" i="95"/>
  <c r="F20" i="95"/>
  <c r="F19" i="95"/>
  <c r="F18" i="95"/>
  <c r="F17" i="95"/>
  <c r="F16" i="95"/>
  <c r="F15" i="95"/>
  <c r="F14" i="95"/>
  <c r="F13" i="95"/>
  <c r="F12" i="95"/>
  <c r="F11" i="95"/>
  <c r="F10" i="95"/>
  <c r="F9" i="95"/>
  <c r="F8" i="95"/>
  <c r="F7" i="95"/>
  <c r="F6" i="95"/>
  <c r="F5" i="95"/>
  <c r="E25" i="95"/>
  <c r="E24" i="95"/>
  <c r="E23" i="95"/>
  <c r="E21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E8" i="95"/>
  <c r="E7" i="95"/>
  <c r="E6" i="95"/>
  <c r="E5" i="95"/>
  <c r="C25" i="95"/>
  <c r="D25" i="95" s="1"/>
  <c r="C24" i="95"/>
  <c r="D24" i="95" s="1"/>
  <c r="C23" i="95"/>
  <c r="D23" i="95" s="1"/>
  <c r="C21" i="95"/>
  <c r="D21" i="95" s="1"/>
  <c r="C20" i="95"/>
  <c r="D20" i="95" s="1"/>
  <c r="C19" i="95"/>
  <c r="D19" i="95" s="1"/>
  <c r="C18" i="95"/>
  <c r="D18" i="95" s="1"/>
  <c r="C17" i="95"/>
  <c r="D17" i="95" s="1"/>
  <c r="C16" i="95"/>
  <c r="D16" i="95" s="1"/>
  <c r="C15" i="95"/>
  <c r="D15" i="95" s="1"/>
  <c r="C14" i="95"/>
  <c r="D14" i="95" s="1"/>
  <c r="C13" i="95"/>
  <c r="D13" i="95" s="1"/>
  <c r="C12" i="95"/>
  <c r="D12" i="95" s="1"/>
  <c r="C11" i="95"/>
  <c r="D11" i="95" s="1"/>
  <c r="C10" i="95"/>
  <c r="D10" i="95" s="1"/>
  <c r="C9" i="95"/>
  <c r="D9" i="95" s="1"/>
  <c r="C8" i="95"/>
  <c r="D8" i="95" s="1"/>
  <c r="C7" i="95"/>
  <c r="D7" i="95" s="1"/>
  <c r="C6" i="95"/>
  <c r="D6" i="95" s="1"/>
  <c r="C5" i="95"/>
  <c r="D5" i="95" s="1"/>
  <c r="Q25" i="100"/>
  <c r="Q24" i="100"/>
  <c r="Q23" i="100"/>
  <c r="Q21" i="100"/>
  <c r="Q20" i="100"/>
  <c r="Q19" i="100"/>
  <c r="Q18" i="100"/>
  <c r="Q17" i="100"/>
  <c r="Q16" i="100"/>
  <c r="Q15" i="100"/>
  <c r="Q14" i="100"/>
  <c r="Q13" i="100"/>
  <c r="Q12" i="100"/>
  <c r="Q11" i="100"/>
  <c r="Q10" i="100"/>
  <c r="Q9" i="100"/>
  <c r="Q8" i="100"/>
  <c r="Q7" i="100"/>
  <c r="Q6" i="100"/>
  <c r="Q5" i="100"/>
  <c r="L25" i="100"/>
  <c r="L24" i="100"/>
  <c r="L23" i="100"/>
  <c r="L21" i="100"/>
  <c r="L20" i="100"/>
  <c r="L19" i="100"/>
  <c r="L18" i="100"/>
  <c r="L17" i="100"/>
  <c r="L16" i="100"/>
  <c r="L15" i="100"/>
  <c r="L14" i="100"/>
  <c r="L13" i="100"/>
  <c r="L12" i="100"/>
  <c r="L11" i="100"/>
  <c r="L10" i="100"/>
  <c r="L9" i="100"/>
  <c r="L8" i="100"/>
  <c r="L7" i="100"/>
  <c r="L6" i="100"/>
  <c r="L5" i="100"/>
  <c r="D25" i="99"/>
  <c r="D24" i="99"/>
  <c r="D23" i="99"/>
  <c r="D25" i="100"/>
  <c r="D24" i="100"/>
  <c r="D23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7" i="100"/>
  <c r="D6" i="100"/>
  <c r="D5" i="100"/>
  <c r="Q25" i="99"/>
  <c r="Q24" i="99"/>
  <c r="Q23" i="99"/>
  <c r="Q21" i="99"/>
  <c r="Q20" i="99"/>
  <c r="Q19" i="99"/>
  <c r="Q18" i="99"/>
  <c r="Q17" i="99"/>
  <c r="Q16" i="99"/>
  <c r="Q15" i="99"/>
  <c r="Q14" i="99"/>
  <c r="Q13" i="99"/>
  <c r="Q12" i="99"/>
  <c r="Q11" i="99"/>
  <c r="Q10" i="99"/>
  <c r="Q9" i="99"/>
  <c r="Q8" i="99"/>
  <c r="Q7" i="99"/>
  <c r="Q6" i="99"/>
  <c r="Q5" i="99"/>
  <c r="L21" i="99"/>
  <c r="L20" i="99"/>
  <c r="L19" i="99"/>
  <c r="L18" i="99"/>
  <c r="L17" i="99"/>
  <c r="L16" i="99"/>
  <c r="L15" i="99"/>
  <c r="L14" i="99"/>
  <c r="L13" i="99"/>
  <c r="L12" i="99"/>
  <c r="L11" i="99"/>
  <c r="L10" i="99"/>
  <c r="L9" i="99"/>
  <c r="L8" i="99"/>
  <c r="L7" i="99"/>
  <c r="L6" i="99"/>
  <c r="L5" i="99"/>
  <c r="D19" i="99"/>
  <c r="D21" i="99"/>
  <c r="D20" i="99"/>
  <c r="D18" i="99"/>
  <c r="D17" i="99"/>
  <c r="D16" i="99"/>
  <c r="D15" i="99"/>
  <c r="D14" i="99"/>
  <c r="D13" i="99"/>
  <c r="D12" i="99"/>
  <c r="D11" i="99"/>
  <c r="D10" i="99"/>
  <c r="D9" i="99"/>
  <c r="D8" i="99"/>
  <c r="D7" i="99"/>
  <c r="D6" i="99"/>
  <c r="D5" i="99"/>
  <c r="Q25" i="98"/>
  <c r="Q24" i="98"/>
  <c r="Q23" i="98"/>
  <c r="Q21" i="98"/>
  <c r="Q20" i="98"/>
  <c r="Q19" i="98"/>
  <c r="Q18" i="98"/>
  <c r="Q17" i="98"/>
  <c r="Q16" i="98"/>
  <c r="Q15" i="98"/>
  <c r="Q14" i="98"/>
  <c r="Q13" i="98"/>
  <c r="Q12" i="98"/>
  <c r="Q11" i="98"/>
  <c r="Q10" i="98"/>
  <c r="Q9" i="98"/>
  <c r="Q8" i="98"/>
  <c r="Q6" i="98"/>
  <c r="Q5" i="98"/>
  <c r="L25" i="98"/>
  <c r="L24" i="98"/>
  <c r="L23" i="98"/>
  <c r="L21" i="98"/>
  <c r="L20" i="98"/>
  <c r="L19" i="98"/>
  <c r="L18" i="98"/>
  <c r="L17" i="98"/>
  <c r="L16" i="98"/>
  <c r="L15" i="98"/>
  <c r="L14" i="98"/>
  <c r="L13" i="98"/>
  <c r="L12" i="98"/>
  <c r="L11" i="98"/>
  <c r="L10" i="98"/>
  <c r="L9" i="98"/>
  <c r="L8" i="98"/>
  <c r="L7" i="98"/>
  <c r="Q7" i="98" s="1"/>
  <c r="L6" i="98"/>
  <c r="L5" i="98"/>
  <c r="D25" i="98"/>
  <c r="D24" i="98"/>
  <c r="D23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D7" i="98"/>
  <c r="D6" i="98"/>
  <c r="D5" i="98"/>
  <c r="P26" i="95" l="1"/>
  <c r="L11" i="95"/>
  <c r="Q11" i="95" s="1"/>
  <c r="L15" i="95"/>
  <c r="Q15" i="95" s="1"/>
  <c r="L19" i="95"/>
  <c r="Q19" i="95" s="1"/>
  <c r="F26" i="95"/>
  <c r="G26" i="95" s="1"/>
  <c r="L25" i="95"/>
  <c r="Q25" i="95" s="1"/>
  <c r="L8" i="95"/>
  <c r="Q8" i="95" s="1"/>
  <c r="L12" i="95"/>
  <c r="Q12" i="95" s="1"/>
  <c r="L16" i="95"/>
  <c r="Q16" i="95" s="1"/>
  <c r="L20" i="95"/>
  <c r="Q20" i="95" s="1"/>
  <c r="D26" i="95"/>
  <c r="E26" i="95"/>
  <c r="L5" i="95"/>
  <c r="Q5" i="95" s="1"/>
  <c r="L9" i="95"/>
  <c r="Q9" i="95" s="1"/>
  <c r="L13" i="95"/>
  <c r="Q13" i="95" s="1"/>
  <c r="L17" i="95"/>
  <c r="Q17" i="95" s="1"/>
  <c r="L21" i="95"/>
  <c r="Q21" i="95" s="1"/>
  <c r="P22" i="95"/>
  <c r="C26" i="95"/>
  <c r="L23" i="95"/>
  <c r="I22" i="95"/>
  <c r="I26" i="95"/>
  <c r="L7" i="95"/>
  <c r="Q7" i="95" s="1"/>
  <c r="N26" i="95"/>
  <c r="K22" i="95"/>
  <c r="Q22" i="95" l="1"/>
  <c r="L22" i="95"/>
  <c r="L26" i="95"/>
  <c r="Q23" i="95"/>
  <c r="Q26" i="95" s="1"/>
  <c r="D63" i="103"/>
  <c r="D64" i="103"/>
  <c r="D62" i="103"/>
  <c r="D65" i="103" s="1"/>
  <c r="Q30" i="99" l="1"/>
  <c r="Q30" i="98"/>
  <c r="Q28" i="95"/>
  <c r="Q30" i="95" l="1"/>
  <c r="E18" i="94" l="1"/>
  <c r="E13" i="94"/>
  <c r="F40" i="48" l="1"/>
  <c r="E33" i="116" l="1"/>
  <c r="E17" i="116" l="1"/>
  <c r="D10" i="110" l="1"/>
  <c r="D14" i="110" s="1"/>
  <c r="E10" i="110"/>
  <c r="E34" i="105" l="1"/>
  <c r="E33" i="105"/>
  <c r="E31" i="105"/>
  <c r="E30" i="105"/>
  <c r="C33" i="105"/>
  <c r="E27" i="105"/>
  <c r="E37" i="105" s="1"/>
  <c r="C27" i="105"/>
  <c r="E10" i="105"/>
  <c r="C9" i="105"/>
  <c r="E13" i="105"/>
  <c r="E21" i="105"/>
  <c r="E24" i="105" s="1"/>
  <c r="E35" i="105" s="1"/>
  <c r="C23" i="105"/>
  <c r="C34" i="105" s="1"/>
  <c r="C21" i="105"/>
  <c r="C20" i="105"/>
  <c r="C31" i="105" s="1"/>
  <c r="C16" i="105"/>
  <c r="C8" i="105"/>
  <c r="C30" i="105" s="1"/>
  <c r="I44" i="104"/>
  <c r="H44" i="104"/>
  <c r="I43" i="104"/>
  <c r="H43" i="104"/>
  <c r="H42" i="104"/>
  <c r="I41" i="104"/>
  <c r="H41" i="104"/>
  <c r="I40" i="104"/>
  <c r="H40" i="104"/>
  <c r="I39" i="104"/>
  <c r="H39" i="104"/>
  <c r="I38" i="104"/>
  <c r="H38" i="104"/>
  <c r="I37" i="104"/>
  <c r="H37" i="104"/>
  <c r="I36" i="104"/>
  <c r="H36" i="104"/>
  <c r="E44" i="104"/>
  <c r="D44" i="104"/>
  <c r="E43" i="104"/>
  <c r="D43" i="104"/>
  <c r="E42" i="104"/>
  <c r="D42" i="104"/>
  <c r="E41" i="104"/>
  <c r="D41" i="104"/>
  <c r="E40" i="104"/>
  <c r="D40" i="104"/>
  <c r="E39" i="104"/>
  <c r="D39" i="104"/>
  <c r="E38" i="104"/>
  <c r="D38" i="104"/>
  <c r="E37" i="104"/>
  <c r="D37" i="104"/>
  <c r="D45" i="104" s="1"/>
  <c r="E36" i="104"/>
  <c r="D36" i="104"/>
  <c r="G45" i="104"/>
  <c r="F45" i="104"/>
  <c r="E45" i="104"/>
  <c r="H30" i="104"/>
  <c r="H29" i="104"/>
  <c r="H28" i="104"/>
  <c r="H27" i="104"/>
  <c r="H26" i="104"/>
  <c r="H25" i="104"/>
  <c r="H24" i="104"/>
  <c r="H23" i="104"/>
  <c r="H22" i="104"/>
  <c r="I30" i="104"/>
  <c r="I29" i="104"/>
  <c r="I28" i="104"/>
  <c r="I27" i="104"/>
  <c r="I26" i="104"/>
  <c r="I25" i="104"/>
  <c r="I24" i="104"/>
  <c r="I23" i="104"/>
  <c r="I22" i="104"/>
  <c r="I16" i="104"/>
  <c r="H16" i="104"/>
  <c r="I15" i="104"/>
  <c r="H15" i="104"/>
  <c r="I14" i="104"/>
  <c r="I42" i="104" s="1"/>
  <c r="H14" i="104"/>
  <c r="I13" i="104"/>
  <c r="H13" i="104"/>
  <c r="I12" i="104"/>
  <c r="H12" i="104"/>
  <c r="I11" i="104"/>
  <c r="H11" i="104"/>
  <c r="I10" i="104"/>
  <c r="H10" i="104"/>
  <c r="I9" i="104"/>
  <c r="H9" i="104"/>
  <c r="H17" i="104" s="1"/>
  <c r="I8" i="104"/>
  <c r="H8" i="104"/>
  <c r="G17" i="104"/>
  <c r="F17" i="104"/>
  <c r="E17" i="104"/>
  <c r="D17" i="104"/>
  <c r="I31" i="104"/>
  <c r="E31" i="104"/>
  <c r="G31" i="104"/>
  <c r="F28" i="103"/>
  <c r="F26" i="103"/>
  <c r="E26" i="103"/>
  <c r="D26" i="103"/>
  <c r="E50" i="103"/>
  <c r="E12" i="101"/>
  <c r="C12" i="101"/>
  <c r="D49" i="103"/>
  <c r="K16" i="102"/>
  <c r="K11" i="102"/>
  <c r="K10" i="102"/>
  <c r="K9" i="102"/>
  <c r="K8" i="102"/>
  <c r="K12" i="102" s="1"/>
  <c r="J12" i="102"/>
  <c r="I12" i="102"/>
  <c r="H12" i="102"/>
  <c r="G12" i="102"/>
  <c r="F12" i="102"/>
  <c r="G22" i="94"/>
  <c r="G24" i="94" s="1"/>
  <c r="G9" i="94"/>
  <c r="F9" i="94"/>
  <c r="G17" i="94"/>
  <c r="G20" i="94" s="1"/>
  <c r="C24" i="105" l="1"/>
  <c r="E32" i="105"/>
  <c r="C37" i="105"/>
  <c r="C10" i="105"/>
  <c r="C13" i="105" s="1"/>
  <c r="C35" i="105" s="1"/>
  <c r="I45" i="104"/>
  <c r="H45" i="104"/>
  <c r="I17" i="104"/>
  <c r="N27" i="95"/>
  <c r="C32" i="105" l="1"/>
  <c r="E18" i="116"/>
  <c r="E14" i="94"/>
  <c r="E15" i="96"/>
  <c r="F15" i="96"/>
  <c r="F19" i="116" l="1"/>
  <c r="F28" i="116" s="1"/>
  <c r="F12" i="116"/>
  <c r="P25" i="115"/>
  <c r="P29" i="115"/>
  <c r="O29" i="115"/>
  <c r="N29" i="115"/>
  <c r="M29" i="115"/>
  <c r="L29" i="115"/>
  <c r="K29" i="115"/>
  <c r="J29" i="115"/>
  <c r="I29" i="115"/>
  <c r="H29" i="115"/>
  <c r="G29" i="115"/>
  <c r="F29" i="115"/>
  <c r="E29" i="115"/>
  <c r="D29" i="115"/>
  <c r="O25" i="115"/>
  <c r="N25" i="115"/>
  <c r="M25" i="115"/>
  <c r="L25" i="115"/>
  <c r="K25" i="115"/>
  <c r="J25" i="115"/>
  <c r="I25" i="115"/>
  <c r="H25" i="115"/>
  <c r="G25" i="115"/>
  <c r="F25" i="115"/>
  <c r="E25" i="115"/>
  <c r="D25" i="115"/>
  <c r="O24" i="113"/>
  <c r="O25" i="113" s="1"/>
  <c r="O30" i="113" s="1"/>
  <c r="N24" i="113"/>
  <c r="N25" i="113" s="1"/>
  <c r="N30" i="113" s="1"/>
  <c r="M24" i="113"/>
  <c r="M25" i="113" s="1"/>
  <c r="M30" i="113" s="1"/>
  <c r="L24" i="113"/>
  <c r="L25" i="113" s="1"/>
  <c r="L30" i="113" s="1"/>
  <c r="K24" i="113"/>
  <c r="K25" i="113" s="1"/>
  <c r="K30" i="113" s="1"/>
  <c r="J24" i="113"/>
  <c r="J25" i="113" s="1"/>
  <c r="J30" i="113" s="1"/>
  <c r="I24" i="113"/>
  <c r="I25" i="113" s="1"/>
  <c r="I30" i="113" s="1"/>
  <c r="H24" i="113"/>
  <c r="H25" i="113" s="1"/>
  <c r="H30" i="113" s="1"/>
  <c r="G24" i="113"/>
  <c r="G25" i="113" s="1"/>
  <c r="G30" i="113" s="1"/>
  <c r="F24" i="113"/>
  <c r="F25" i="113" s="1"/>
  <c r="F30" i="113" s="1"/>
  <c r="E24" i="113"/>
  <c r="E25" i="113" s="1"/>
  <c r="E30" i="113" s="1"/>
  <c r="D24" i="113"/>
  <c r="D25" i="113" s="1"/>
  <c r="D30" i="113" s="1"/>
  <c r="P23" i="113"/>
  <c r="P22" i="113"/>
  <c r="P9" i="113"/>
  <c r="P8" i="113"/>
  <c r="P7" i="113"/>
  <c r="P21" i="113"/>
  <c r="P20" i="113"/>
  <c r="P18" i="113"/>
  <c r="P19" i="113"/>
  <c r="P17" i="113"/>
  <c r="P16" i="113"/>
  <c r="P15" i="113"/>
  <c r="P14" i="113"/>
  <c r="P12" i="113"/>
  <c r="P11" i="113"/>
  <c r="P10" i="113"/>
  <c r="P13" i="113"/>
  <c r="O29" i="113"/>
  <c r="N29" i="113"/>
  <c r="M29" i="113"/>
  <c r="L29" i="113"/>
  <c r="K29" i="113"/>
  <c r="J29" i="113"/>
  <c r="I29" i="113"/>
  <c r="H29" i="113"/>
  <c r="G29" i="113"/>
  <c r="F29" i="113"/>
  <c r="E29" i="113"/>
  <c r="D29" i="113"/>
  <c r="P28" i="113"/>
  <c r="P27" i="113"/>
  <c r="P26" i="113"/>
  <c r="F29" i="116" l="1"/>
  <c r="F32" i="116" s="1"/>
  <c r="F34" i="116" s="1"/>
  <c r="P24" i="113"/>
  <c r="P25" i="113" s="1"/>
  <c r="P30" i="113" s="1"/>
  <c r="P29" i="113"/>
  <c r="F22" i="98" l="1"/>
  <c r="F12" i="111"/>
  <c r="E10" i="111"/>
  <c r="D10" i="111"/>
  <c r="P31" i="115" s="1"/>
  <c r="D8" i="111"/>
  <c r="P31" i="113" s="1"/>
  <c r="D9" i="111"/>
  <c r="O24" i="117" s="1"/>
  <c r="E41" i="109"/>
  <c r="L35" i="108"/>
  <c r="J35" i="108"/>
  <c r="I35" i="108"/>
  <c r="H35" i="108"/>
  <c r="F35" i="108"/>
  <c r="E35" i="108"/>
  <c r="C35" i="108"/>
  <c r="G34" i="108"/>
  <c r="K34" i="108" s="1"/>
  <c r="D34" i="108"/>
  <c r="D33" i="108"/>
  <c r="G33" i="108" s="1"/>
  <c r="K33" i="108" s="1"/>
  <c r="D32" i="108"/>
  <c r="D35" i="108" s="1"/>
  <c r="C10" i="108"/>
  <c r="D10" i="108"/>
  <c r="E10" i="108"/>
  <c r="F10" i="108"/>
  <c r="G10" i="108"/>
  <c r="H10" i="108"/>
  <c r="I10" i="108"/>
  <c r="J10" i="108"/>
  <c r="L10" i="108"/>
  <c r="F10" i="111" l="1"/>
  <c r="G10" i="111" s="1"/>
  <c r="D11" i="111"/>
  <c r="G32" i="108"/>
  <c r="K10" i="108"/>
  <c r="K32" i="108" l="1"/>
  <c r="K35" i="108" s="1"/>
  <c r="G35" i="108"/>
  <c r="E10" i="107" l="1"/>
  <c r="C12" i="106"/>
  <c r="C14" i="106" s="1"/>
  <c r="F38" i="105"/>
  <c r="G38" i="105"/>
  <c r="V23" i="104"/>
  <c r="W23" i="104"/>
  <c r="V24" i="104"/>
  <c r="W24" i="104"/>
  <c r="V25" i="104"/>
  <c r="W25" i="104"/>
  <c r="V26" i="104"/>
  <c r="W26" i="104"/>
  <c r="V27" i="104"/>
  <c r="W27" i="104"/>
  <c r="V28" i="104"/>
  <c r="W28" i="104"/>
  <c r="V29" i="104"/>
  <c r="W29" i="104"/>
  <c r="V30" i="104"/>
  <c r="W30" i="104"/>
  <c r="V31" i="104"/>
  <c r="W31" i="104"/>
  <c r="W22" i="104"/>
  <c r="V22" i="104"/>
  <c r="V17" i="104"/>
  <c r="W17" i="104"/>
  <c r="V9" i="104"/>
  <c r="W9" i="104"/>
  <c r="V10" i="104"/>
  <c r="W10" i="104"/>
  <c r="V11" i="104"/>
  <c r="W11" i="104"/>
  <c r="V12" i="104"/>
  <c r="W12" i="104"/>
  <c r="V13" i="104"/>
  <c r="W13" i="104"/>
  <c r="V14" i="104"/>
  <c r="W14" i="104"/>
  <c r="V15" i="104"/>
  <c r="W15" i="104"/>
  <c r="V16" i="104"/>
  <c r="W16" i="104"/>
  <c r="V8" i="104"/>
  <c r="W8" i="104"/>
  <c r="E10" i="103"/>
  <c r="E9" i="103"/>
  <c r="E8" i="103"/>
  <c r="E7" i="103"/>
  <c r="D67" i="103"/>
  <c r="E14" i="116" s="1"/>
  <c r="D50" i="103"/>
  <c r="D53" i="103" s="1"/>
  <c r="E16" i="116" s="1"/>
  <c r="D8" i="103" l="1"/>
  <c r="E12" i="94" s="1"/>
  <c r="D9" i="103"/>
  <c r="E11" i="94" s="1"/>
  <c r="L15" i="102"/>
  <c r="L10" i="102"/>
  <c r="L11" i="102"/>
  <c r="E11" i="102"/>
  <c r="E10" i="102"/>
  <c r="E12" i="102" s="1"/>
  <c r="L9" i="102"/>
  <c r="L8" i="102"/>
  <c r="L16" i="102"/>
  <c r="K13" i="102"/>
  <c r="J14" i="102"/>
  <c r="I14" i="102"/>
  <c r="H14" i="102"/>
  <c r="G14" i="102"/>
  <c r="F14" i="102"/>
  <c r="E18" i="112" s="1"/>
  <c r="D13" i="101"/>
  <c r="E13" i="101"/>
  <c r="C13" i="101"/>
  <c r="K26" i="100"/>
  <c r="Q26" i="100"/>
  <c r="P26" i="100"/>
  <c r="O26" i="100"/>
  <c r="N26" i="100"/>
  <c r="L26" i="100"/>
  <c r="I26" i="100"/>
  <c r="F26" i="100"/>
  <c r="E26" i="100"/>
  <c r="D26" i="100"/>
  <c r="C26" i="100"/>
  <c r="T25" i="100"/>
  <c r="T24" i="100"/>
  <c r="T23" i="100"/>
  <c r="Q22" i="100"/>
  <c r="P22" i="100"/>
  <c r="P27" i="100" s="1"/>
  <c r="O22" i="100"/>
  <c r="O27" i="100" s="1"/>
  <c r="N22" i="100"/>
  <c r="L22" i="100"/>
  <c r="K22" i="100"/>
  <c r="I22" i="100"/>
  <c r="I27" i="100" s="1"/>
  <c r="F22" i="100"/>
  <c r="F27" i="100" s="1"/>
  <c r="E22" i="100"/>
  <c r="D22" i="100"/>
  <c r="C22" i="100"/>
  <c r="T21" i="100"/>
  <c r="R21" i="100"/>
  <c r="M21" i="100"/>
  <c r="T20" i="100"/>
  <c r="T19" i="100"/>
  <c r="T18" i="100"/>
  <c r="T17" i="100"/>
  <c r="T16" i="100"/>
  <c r="R16" i="100"/>
  <c r="M16" i="100"/>
  <c r="T15" i="100"/>
  <c r="T14" i="100"/>
  <c r="T13" i="100"/>
  <c r="T12" i="100"/>
  <c r="R12" i="100"/>
  <c r="M12" i="100"/>
  <c r="T11" i="100"/>
  <c r="T10" i="100"/>
  <c r="T9" i="100"/>
  <c r="T8" i="100"/>
  <c r="T7" i="100"/>
  <c r="R7" i="100"/>
  <c r="M7" i="100"/>
  <c r="T6" i="100"/>
  <c r="R6" i="100"/>
  <c r="M6" i="100"/>
  <c r="T5" i="100"/>
  <c r="R5" i="100"/>
  <c r="M5" i="100"/>
  <c r="Q26" i="99"/>
  <c r="P26" i="99"/>
  <c r="O26" i="99"/>
  <c r="N26" i="99"/>
  <c r="L26" i="99"/>
  <c r="M26" i="99" s="1"/>
  <c r="K26" i="99"/>
  <c r="I26" i="99"/>
  <c r="F26" i="99"/>
  <c r="G26" i="99" s="1"/>
  <c r="T25" i="99"/>
  <c r="G25" i="99"/>
  <c r="T24" i="99"/>
  <c r="G24" i="99"/>
  <c r="T23" i="99"/>
  <c r="R23" i="99"/>
  <c r="M23" i="99"/>
  <c r="G23" i="99"/>
  <c r="Q22" i="99"/>
  <c r="P22" i="99"/>
  <c r="P27" i="99" s="1"/>
  <c r="O22" i="99"/>
  <c r="O27" i="99" s="1"/>
  <c r="N22" i="99"/>
  <c r="N27" i="99" s="1"/>
  <c r="L22" i="99"/>
  <c r="L27" i="99" s="1"/>
  <c r="K22" i="99"/>
  <c r="I22" i="99"/>
  <c r="F22" i="99"/>
  <c r="G22" i="99" s="1"/>
  <c r="E22" i="99"/>
  <c r="E27" i="99" s="1"/>
  <c r="D22" i="99"/>
  <c r="D27" i="99" s="1"/>
  <c r="C22" i="99"/>
  <c r="C27" i="99" s="1"/>
  <c r="T21" i="99"/>
  <c r="R21" i="99"/>
  <c r="M21" i="99"/>
  <c r="T20" i="99"/>
  <c r="R20" i="99"/>
  <c r="M20" i="99"/>
  <c r="T19" i="99"/>
  <c r="T18" i="99"/>
  <c r="R18" i="99"/>
  <c r="M18" i="99"/>
  <c r="T17" i="99"/>
  <c r="R17" i="99"/>
  <c r="M17" i="99"/>
  <c r="T16" i="99"/>
  <c r="T15" i="99"/>
  <c r="T14" i="99"/>
  <c r="R14" i="99"/>
  <c r="M14" i="99"/>
  <c r="T13" i="99"/>
  <c r="R13" i="99"/>
  <c r="M13" i="99"/>
  <c r="T12" i="99"/>
  <c r="T11" i="99"/>
  <c r="R11" i="99"/>
  <c r="M11" i="99"/>
  <c r="T10" i="99"/>
  <c r="R10" i="99"/>
  <c r="M10" i="99"/>
  <c r="T9" i="99"/>
  <c r="T8" i="99"/>
  <c r="T7" i="99"/>
  <c r="R7" i="99"/>
  <c r="M7" i="99"/>
  <c r="T6" i="99"/>
  <c r="R6" i="99"/>
  <c r="M6" i="99"/>
  <c r="T5" i="99"/>
  <c r="R5" i="99"/>
  <c r="M5" i="99"/>
  <c r="Q26" i="98"/>
  <c r="P26" i="98"/>
  <c r="O26" i="98"/>
  <c r="N26" i="98"/>
  <c r="L26" i="98"/>
  <c r="K26" i="98"/>
  <c r="I26" i="98"/>
  <c r="D26" i="98"/>
  <c r="E26" i="98"/>
  <c r="F26" i="98"/>
  <c r="C26" i="98"/>
  <c r="O22" i="98"/>
  <c r="O27" i="98" s="1"/>
  <c r="Q22" i="98"/>
  <c r="P22" i="98"/>
  <c r="P27" i="98" s="1"/>
  <c r="N22" i="98"/>
  <c r="L22" i="98"/>
  <c r="K22" i="98"/>
  <c r="I22" i="98"/>
  <c r="I27" i="98" s="1"/>
  <c r="G26" i="98"/>
  <c r="T25" i="98"/>
  <c r="R25" i="98"/>
  <c r="M25" i="98"/>
  <c r="G25" i="98"/>
  <c r="T24" i="98"/>
  <c r="R24" i="98"/>
  <c r="M24" i="98"/>
  <c r="G24" i="98"/>
  <c r="T23" i="98"/>
  <c r="R23" i="98"/>
  <c r="M23" i="98"/>
  <c r="G23" i="98"/>
  <c r="F27" i="98"/>
  <c r="E8" i="111" s="1"/>
  <c r="E22" i="98"/>
  <c r="E27" i="98" s="1"/>
  <c r="D22" i="98"/>
  <c r="C22" i="98"/>
  <c r="C27" i="98" s="1"/>
  <c r="T21" i="98"/>
  <c r="R21" i="98"/>
  <c r="M21" i="98"/>
  <c r="T20" i="98"/>
  <c r="R20" i="98"/>
  <c r="M20" i="98"/>
  <c r="T19" i="98"/>
  <c r="R19" i="98"/>
  <c r="M19" i="98"/>
  <c r="G19" i="98"/>
  <c r="T18" i="98"/>
  <c r="R18" i="98"/>
  <c r="M18" i="98"/>
  <c r="G18" i="98"/>
  <c r="T17" i="98"/>
  <c r="R17" i="98"/>
  <c r="M17" i="98"/>
  <c r="G17" i="98"/>
  <c r="T16" i="98"/>
  <c r="R16" i="98"/>
  <c r="M16" i="98"/>
  <c r="G16" i="98"/>
  <c r="T15" i="98"/>
  <c r="R15" i="98"/>
  <c r="M15" i="98"/>
  <c r="G15" i="98"/>
  <c r="T14" i="98"/>
  <c r="R14" i="98"/>
  <c r="M14" i="98"/>
  <c r="G14" i="98"/>
  <c r="T13" i="98"/>
  <c r="R13" i="98"/>
  <c r="M13" i="98"/>
  <c r="G13" i="98"/>
  <c r="T12" i="98"/>
  <c r="R12" i="98"/>
  <c r="M12" i="98"/>
  <c r="G12" i="98"/>
  <c r="T11" i="98"/>
  <c r="R11" i="98"/>
  <c r="M11" i="98"/>
  <c r="G11" i="98"/>
  <c r="T10" i="98"/>
  <c r="R10" i="98"/>
  <c r="M10" i="98"/>
  <c r="G10" i="98"/>
  <c r="T9" i="98"/>
  <c r="R9" i="98"/>
  <c r="M9" i="98"/>
  <c r="G9" i="98"/>
  <c r="T8" i="98"/>
  <c r="R8" i="98"/>
  <c r="M8" i="98"/>
  <c r="G8" i="98"/>
  <c r="T7" i="98"/>
  <c r="R7" i="98"/>
  <c r="M7" i="98"/>
  <c r="G7" i="98"/>
  <c r="T6" i="98"/>
  <c r="R6" i="98"/>
  <c r="M6" i="98"/>
  <c r="G6" i="98"/>
  <c r="T5" i="98"/>
  <c r="R5" i="98"/>
  <c r="M5" i="98"/>
  <c r="G5" i="98"/>
  <c r="D15" i="96"/>
  <c r="E11" i="116" s="1"/>
  <c r="I27" i="95"/>
  <c r="K27" i="95"/>
  <c r="L27" i="95"/>
  <c r="O27" i="95"/>
  <c r="P27" i="95"/>
  <c r="Q27" i="95"/>
  <c r="Q29" i="95" s="1"/>
  <c r="Q31" i="95" s="1"/>
  <c r="T23" i="95"/>
  <c r="T24" i="95"/>
  <c r="T25" i="95"/>
  <c r="T26" i="95"/>
  <c r="R23" i="95"/>
  <c r="R24" i="95"/>
  <c r="R25" i="95"/>
  <c r="R26" i="95"/>
  <c r="M23" i="95"/>
  <c r="M24" i="95"/>
  <c r="M25" i="95"/>
  <c r="M26" i="95"/>
  <c r="G24" i="95"/>
  <c r="G25" i="95"/>
  <c r="G23" i="95"/>
  <c r="R6" i="95"/>
  <c r="R7" i="95"/>
  <c r="R8" i="95"/>
  <c r="R9" i="95"/>
  <c r="R10" i="95"/>
  <c r="R11" i="95"/>
  <c r="R12" i="95"/>
  <c r="R13" i="95"/>
  <c r="R14" i="95"/>
  <c r="R15" i="95"/>
  <c r="R16" i="95"/>
  <c r="R17" i="95"/>
  <c r="R18" i="95"/>
  <c r="R19" i="95"/>
  <c r="R20" i="95"/>
  <c r="R21" i="95"/>
  <c r="R5" i="95"/>
  <c r="T6" i="95"/>
  <c r="T7" i="95"/>
  <c r="T8" i="95"/>
  <c r="T9" i="95"/>
  <c r="T10" i="95"/>
  <c r="T11" i="95"/>
  <c r="T12" i="95"/>
  <c r="T13" i="95"/>
  <c r="T14" i="95"/>
  <c r="T15" i="95"/>
  <c r="T16" i="95"/>
  <c r="T17" i="95"/>
  <c r="T18" i="95"/>
  <c r="T19" i="95"/>
  <c r="T20" i="95"/>
  <c r="T21" i="95"/>
  <c r="T22" i="95"/>
  <c r="T5" i="95"/>
  <c r="M6" i="95"/>
  <c r="M7" i="95"/>
  <c r="M8" i="95"/>
  <c r="M9" i="95"/>
  <c r="M10" i="95"/>
  <c r="M11" i="95"/>
  <c r="M12" i="95"/>
  <c r="M13" i="95"/>
  <c r="M14" i="95"/>
  <c r="M15" i="95"/>
  <c r="M16" i="95"/>
  <c r="M17" i="95"/>
  <c r="M18" i="95"/>
  <c r="M19" i="95"/>
  <c r="M20" i="95"/>
  <c r="M21" i="95"/>
  <c r="M5" i="95"/>
  <c r="E10" i="112" l="1"/>
  <c r="Q33" i="95"/>
  <c r="Q27" i="100"/>
  <c r="D27" i="100"/>
  <c r="L27" i="98"/>
  <c r="M27" i="98" s="1"/>
  <c r="K27" i="98"/>
  <c r="D27" i="98"/>
  <c r="E9" i="116"/>
  <c r="E12" i="116" s="1"/>
  <c r="E23" i="94"/>
  <c r="E21" i="94"/>
  <c r="N27" i="100"/>
  <c r="F8" i="111"/>
  <c r="E14" i="102"/>
  <c r="E22" i="112" s="1"/>
  <c r="E23" i="112" s="1"/>
  <c r="K14" i="102"/>
  <c r="E25" i="116" s="1"/>
  <c r="L12" i="102"/>
  <c r="T26" i="100"/>
  <c r="L27" i="100"/>
  <c r="K27" i="100"/>
  <c r="E27" i="100"/>
  <c r="C27" i="100"/>
  <c r="G5" i="100"/>
  <c r="G6" i="100"/>
  <c r="G7" i="100"/>
  <c r="G8" i="100"/>
  <c r="G9" i="100"/>
  <c r="G10" i="100"/>
  <c r="G11" i="100"/>
  <c r="G12" i="100"/>
  <c r="G13" i="100"/>
  <c r="G14" i="100"/>
  <c r="G15" i="100"/>
  <c r="G16" i="100"/>
  <c r="G17" i="100"/>
  <c r="G18" i="100"/>
  <c r="G19" i="100"/>
  <c r="G20" i="100"/>
  <c r="M27" i="100"/>
  <c r="Q29" i="100"/>
  <c r="Q31" i="100" s="1"/>
  <c r="Q33" i="100" s="1"/>
  <c r="R27" i="100"/>
  <c r="T22" i="100"/>
  <c r="G21" i="100"/>
  <c r="G22" i="100"/>
  <c r="M22" i="100"/>
  <c r="R22" i="100"/>
  <c r="Q27" i="99"/>
  <c r="Q29" i="99" s="1"/>
  <c r="Q31" i="99" s="1"/>
  <c r="Q33" i="99" s="1"/>
  <c r="K27" i="99"/>
  <c r="T26" i="99"/>
  <c r="R26" i="99"/>
  <c r="I27" i="99"/>
  <c r="F27" i="99"/>
  <c r="R22" i="99"/>
  <c r="G5" i="99"/>
  <c r="G6" i="99"/>
  <c r="G7" i="99"/>
  <c r="G8" i="99"/>
  <c r="G9" i="99"/>
  <c r="G10" i="99"/>
  <c r="G11" i="99"/>
  <c r="G12" i="99"/>
  <c r="G13" i="99"/>
  <c r="G14" i="99"/>
  <c r="G15" i="99"/>
  <c r="G16" i="99"/>
  <c r="G17" i="99"/>
  <c r="G18" i="99"/>
  <c r="G19" i="99"/>
  <c r="M27" i="99"/>
  <c r="T22" i="99"/>
  <c r="G20" i="99"/>
  <c r="G21" i="99"/>
  <c r="M22" i="99"/>
  <c r="Q27" i="98"/>
  <c r="Q29" i="98" s="1"/>
  <c r="Q31" i="98" s="1"/>
  <c r="Q33" i="98" s="1"/>
  <c r="R26" i="98"/>
  <c r="T26" i="98"/>
  <c r="N27" i="98"/>
  <c r="M26" i="98"/>
  <c r="T22" i="98"/>
  <c r="G20" i="98"/>
  <c r="G21" i="98"/>
  <c r="G22" i="98"/>
  <c r="M22" i="98"/>
  <c r="R22" i="98"/>
  <c r="F22" i="95"/>
  <c r="G21" i="95" s="1"/>
  <c r="E22" i="95"/>
  <c r="E27" i="95" s="1"/>
  <c r="D22" i="95"/>
  <c r="D27" i="95" s="1"/>
  <c r="C22" i="95"/>
  <c r="C27" i="95" s="1"/>
  <c r="F17" i="94"/>
  <c r="F20" i="94" s="1"/>
  <c r="F22" i="94" s="1"/>
  <c r="F24" i="94" s="1"/>
  <c r="R27" i="99" l="1"/>
  <c r="E9" i="111"/>
  <c r="M22" i="95"/>
  <c r="F27" i="95"/>
  <c r="R22" i="95"/>
  <c r="G17" i="95"/>
  <c r="G13" i="95"/>
  <c r="R27" i="98"/>
  <c r="L14" i="102"/>
  <c r="E8" i="94"/>
  <c r="G8" i="111"/>
  <c r="G20" i="95"/>
  <c r="G16" i="95"/>
  <c r="G12" i="95"/>
  <c r="G8" i="95"/>
  <c r="G5" i="95"/>
  <c r="G7" i="95"/>
  <c r="G9" i="95"/>
  <c r="G19" i="95"/>
  <c r="G15" i="95"/>
  <c r="G11" i="95"/>
  <c r="G22" i="95"/>
  <c r="G18" i="95"/>
  <c r="G14" i="95"/>
  <c r="G10" i="95"/>
  <c r="G6" i="95"/>
  <c r="F9" i="111" l="1"/>
  <c r="E11" i="111"/>
  <c r="R27" i="95"/>
  <c r="M27" i="95"/>
  <c r="C36" i="92"/>
  <c r="B33" i="92"/>
  <c r="B32" i="92"/>
  <c r="B31" i="92"/>
  <c r="B27" i="92"/>
  <c r="B26" i="92"/>
  <c r="B23" i="92"/>
  <c r="B21" i="92"/>
  <c r="B20" i="92"/>
  <c r="B19" i="92"/>
  <c r="B18" i="92"/>
  <c r="B17" i="92"/>
  <c r="B16" i="92"/>
  <c r="B15" i="92"/>
  <c r="B14" i="92"/>
  <c r="B13" i="92"/>
  <c r="B12" i="92"/>
  <c r="B11" i="92"/>
  <c r="E41" i="48"/>
  <c r="E48" i="48"/>
  <c r="E45" i="48"/>
  <c r="E40" i="48"/>
  <c r="E39" i="48"/>
  <c r="E28" i="48"/>
  <c r="E25" i="48"/>
  <c r="E16" i="48"/>
  <c r="E15" i="48"/>
  <c r="E10" i="48"/>
  <c r="F48" i="48"/>
  <c r="F45" i="48"/>
  <c r="F41" i="48"/>
  <c r="F39" i="48"/>
  <c r="F28" i="48"/>
  <c r="F26" i="48"/>
  <c r="F25" i="48"/>
  <c r="F16" i="48"/>
  <c r="F15" i="48"/>
  <c r="F11" i="48"/>
  <c r="F10" i="48"/>
  <c r="C28" i="92" l="1"/>
  <c r="G9" i="111"/>
  <c r="F11" i="111"/>
  <c r="G11" i="111" s="1"/>
  <c r="E7" i="112" s="1"/>
  <c r="F17" i="48"/>
  <c r="F12" i="48"/>
  <c r="C34" i="92"/>
  <c r="F27" i="48"/>
  <c r="F33" i="48" s="1"/>
  <c r="F49" i="48"/>
  <c r="F43" i="48"/>
  <c r="F22" i="48" l="1"/>
  <c r="F50" i="48"/>
  <c r="F51" i="48" s="1"/>
  <c r="H11" i="42" l="1"/>
  <c r="H27" i="42" l="1"/>
  <c r="H28" i="42"/>
  <c r="F29" i="42"/>
  <c r="E29" i="42"/>
  <c r="G29" i="42" l="1"/>
  <c r="H29" i="42" s="1"/>
  <c r="E18" i="49" l="1"/>
  <c r="E59" i="49" l="1"/>
  <c r="E33" i="49" l="1"/>
  <c r="E34" i="49"/>
  <c r="E66" i="49" l="1"/>
  <c r="E72" i="49"/>
  <c r="E56" i="49"/>
  <c r="E57" i="49" s="1"/>
  <c r="E51" i="49"/>
  <c r="E52" i="49" s="1"/>
  <c r="E40" i="49"/>
  <c r="E42" i="49" s="1"/>
  <c r="E58" i="49" l="1"/>
  <c r="E37" i="49" l="1"/>
  <c r="E43" i="49" s="1"/>
  <c r="E27" i="49"/>
  <c r="E24" i="49"/>
  <c r="E13" i="49"/>
  <c r="E9" i="49"/>
  <c r="E11" i="49" s="1"/>
  <c r="E49" i="48" l="1"/>
  <c r="E17" i="48"/>
  <c r="E43" i="48"/>
  <c r="E50" i="48" l="1"/>
  <c r="E17" i="49" l="1"/>
  <c r="E19" i="49" s="1"/>
  <c r="E25" i="49" s="1"/>
  <c r="E29" i="49" s="1"/>
  <c r="E44" i="49" s="1"/>
  <c r="E46" i="49" s="1"/>
  <c r="E60" i="49" s="1"/>
  <c r="E71" i="49" s="1"/>
  <c r="E73" i="49" s="1"/>
  <c r="H13" i="42" l="1"/>
  <c r="H14" i="42" l="1"/>
  <c r="H12" i="42" l="1"/>
  <c r="F10" i="42"/>
  <c r="F30" i="42" l="1"/>
  <c r="D10" i="42"/>
  <c r="D30" i="42" s="1"/>
  <c r="H16" i="42"/>
  <c r="H7" i="42" l="1"/>
  <c r="H23" i="42" l="1"/>
  <c r="H19" i="42"/>
  <c r="H22" i="42"/>
  <c r="H15" i="42" l="1"/>
  <c r="H9" i="42" l="1"/>
  <c r="E10" i="42"/>
  <c r="E30" i="42" s="1"/>
  <c r="H8" i="42" l="1"/>
  <c r="G10" i="42"/>
  <c r="H10" i="42" l="1"/>
  <c r="H21" i="42" l="1"/>
  <c r="H18" i="42"/>
  <c r="H24" i="42"/>
  <c r="H20" i="42"/>
  <c r="G26" i="42" l="1"/>
  <c r="H26" i="42" s="1"/>
  <c r="H17" i="42"/>
  <c r="G30" i="42" l="1"/>
  <c r="H30" i="42" s="1"/>
  <c r="E8" i="112" s="1"/>
  <c r="D28" i="103" l="1"/>
  <c r="E15" i="116" s="1"/>
  <c r="E19" i="116" s="1"/>
  <c r="E28" i="116" s="1"/>
  <c r="E29" i="116" s="1"/>
  <c r="E32" i="116" s="1"/>
  <c r="E34" i="116" s="1"/>
  <c r="D7" i="103"/>
  <c r="E10" i="94" s="1"/>
  <c r="E9" i="94" s="1"/>
  <c r="E17" i="94" s="1"/>
  <c r="E20" i="94" s="1"/>
  <c r="E22" i="94" s="1"/>
  <c r="E24" i="94" s="1"/>
  <c r="D10" i="103" l="1"/>
  <c r="E26" i="48" l="1"/>
  <c r="E27" i="48" s="1"/>
  <c r="E33" i="48" s="1"/>
  <c r="E51" i="48" s="1"/>
  <c r="B9" i="92"/>
  <c r="B7" i="92" l="1"/>
  <c r="B10" i="92" s="1"/>
  <c r="B22" i="92" s="1"/>
  <c r="C24" i="92" s="1"/>
  <c r="C35" i="92" s="1"/>
  <c r="C37" i="92" s="1"/>
  <c r="D39" i="92" s="1"/>
  <c r="E11" i="48" l="1"/>
  <c r="E12" i="48" s="1"/>
  <c r="E22" i="48" s="1"/>
</calcChain>
</file>

<file path=xl/comments1.xml><?xml version="1.0" encoding="utf-8"?>
<comments xmlns="http://schemas.openxmlformats.org/spreadsheetml/2006/main">
  <authors>
    <author>Bipin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Bipin:</t>
        </r>
        <r>
          <rPr>
            <sz val="9"/>
            <color indexed="81"/>
            <rFont val="Tahoma"/>
            <family val="2"/>
          </rPr>
          <t xml:space="preserve">
Note: The values for FY 2016-17 reported in True up petition differ from now report Please check</t>
        </r>
      </text>
    </comment>
  </commentList>
</comments>
</file>

<file path=xl/comments2.xml><?xml version="1.0" encoding="utf-8"?>
<comments xmlns="http://schemas.openxmlformats.org/spreadsheetml/2006/main">
  <authors>
    <author>Bipin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Bipin: UNSUSUAL FIGURE. 
PLEASE CHECK SALES AND PURCHASE UNITS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 xml:space="preserve">Bipin: UNSUSUAL FIGURE. PLEASE CHECK </t>
        </r>
      </text>
    </comment>
    <comment ref="G12" authorId="0" shapeId="0">
      <text>
        <r>
          <rPr>
            <b/>
            <sz val="10"/>
            <color indexed="81"/>
            <rFont val="Tahoma"/>
            <family val="2"/>
          </rPr>
          <t>Bipin: SEE COMMISSION ARR ORDER</t>
        </r>
      </text>
    </comment>
  </commentList>
</comments>
</file>

<file path=xl/comments3.xml><?xml version="1.0" encoding="utf-8"?>
<comments xmlns="http://schemas.openxmlformats.org/spreadsheetml/2006/main">
  <authors>
    <author>Bipin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Bipin: </t>
        </r>
        <r>
          <rPr>
            <sz val="9"/>
            <color indexed="81"/>
            <rFont val="Tahoma"/>
            <family val="2"/>
          </rPr>
          <t>Is this the P&amp;L submitted in ARR ?</t>
        </r>
      </text>
    </comment>
  </commentList>
</comments>
</file>

<file path=xl/sharedStrings.xml><?xml version="1.0" encoding="utf-8"?>
<sst xmlns="http://schemas.openxmlformats.org/spreadsheetml/2006/main" count="1619" uniqueCount="734">
  <si>
    <t>S.No.</t>
  </si>
  <si>
    <t>Particulars</t>
  </si>
  <si>
    <t>Remarks</t>
  </si>
  <si>
    <t>Audited</t>
  </si>
  <si>
    <t>Cost of own power generation/power purchase</t>
  </si>
  <si>
    <t>Operation &amp; Maintenance Expenses</t>
  </si>
  <si>
    <t>Employee Expenses</t>
  </si>
  <si>
    <t>Administration &amp; General Expenses</t>
  </si>
  <si>
    <t>Repair &amp; Maintenance Expenses</t>
  </si>
  <si>
    <t>Depreciation</t>
  </si>
  <si>
    <t>Interest and finance charges on long term loans</t>
  </si>
  <si>
    <t xml:space="preserve">Interest on Working Capital </t>
  </si>
  <si>
    <t>Total Revenue Expenditure</t>
  </si>
  <si>
    <t>Return on Equity /Net Fixed Assets</t>
  </si>
  <si>
    <t>Tax on ROE</t>
  </si>
  <si>
    <t>Aggregate Revenue Requirement (13+15)</t>
  </si>
  <si>
    <t>Less: Non Tariff Income</t>
  </si>
  <si>
    <t>Aggregate Revenue Requirement from Retail Tariff</t>
  </si>
  <si>
    <t>Revenue from Sale of Power</t>
  </si>
  <si>
    <t>Number of consumers</t>
  </si>
  <si>
    <t>Number of consumers billed</t>
  </si>
  <si>
    <t>% of total Unit sold</t>
  </si>
  <si>
    <t>Total</t>
  </si>
  <si>
    <t>Average rate/kwh</t>
  </si>
  <si>
    <t>MU</t>
  </si>
  <si>
    <t>Electricity Duty Recovery</t>
  </si>
  <si>
    <t xml:space="preserve">Gross Revenue From Sale of Power </t>
  </si>
  <si>
    <t>S. No.</t>
  </si>
  <si>
    <t>Income from statutory investments</t>
  </si>
  <si>
    <t>Miscellaneous receipts</t>
  </si>
  <si>
    <t>Commission for collection of electricity duty</t>
  </si>
  <si>
    <t>Interest on delayed or deferred payment of bills</t>
  </si>
  <si>
    <t>Revenue from late payment surcharge</t>
  </si>
  <si>
    <t>Meter/metering equipment/service line rentals</t>
  </si>
  <si>
    <t xml:space="preserve">Total </t>
  </si>
  <si>
    <t>Consumers Contribution for service connection lines and associated works</t>
  </si>
  <si>
    <t>Any other contribution by consumers  under any scheme.</t>
  </si>
  <si>
    <t>Capital Subsidies from appropriate  Government towards cost of Capital Assets</t>
  </si>
  <si>
    <t xml:space="preserve">Receipts from appropriate Government under any scheme as Grants </t>
  </si>
  <si>
    <t>Any Other item(to be specified)</t>
  </si>
  <si>
    <t>TOTAL</t>
  </si>
  <si>
    <t>Reference</t>
  </si>
  <si>
    <t>Basic Salary</t>
  </si>
  <si>
    <t>Dearness Allowance (DA)</t>
  </si>
  <si>
    <t>House Rent Allowance</t>
  </si>
  <si>
    <t xml:space="preserve">Interim Relief / Wage Revision </t>
  </si>
  <si>
    <t>Staff welfare expenses</t>
  </si>
  <si>
    <t>Training Expenses</t>
  </si>
  <si>
    <t xml:space="preserve">Gross Employee Expenses </t>
  </si>
  <si>
    <t>Less: Expenses Capitalised</t>
  </si>
  <si>
    <t xml:space="preserve">Net Employee Expenses </t>
  </si>
  <si>
    <t>Insurance</t>
  </si>
  <si>
    <t>Telephone &amp; Postage, etc.</t>
  </si>
  <si>
    <t>Consultancy charges</t>
  </si>
  <si>
    <t xml:space="preserve">Conveyance </t>
  </si>
  <si>
    <t>Electricity charges</t>
  </si>
  <si>
    <t>Printing &amp; Stationery</t>
  </si>
  <si>
    <t xml:space="preserve">Bank Charges  </t>
  </si>
  <si>
    <t>Office Expenses</t>
  </si>
  <si>
    <t>Security arrangements</t>
  </si>
  <si>
    <t>Gross A&amp;G Expenses</t>
  </si>
  <si>
    <t>Ele. Duty u/s 3(I), KED Act</t>
  </si>
  <si>
    <t xml:space="preserve">Net A&amp;G Expenses </t>
  </si>
  <si>
    <t>Gross R&amp;M Expenses</t>
  </si>
  <si>
    <t xml:space="preserve">Net R&amp;M Expenses </t>
  </si>
  <si>
    <t>Street Lighting</t>
  </si>
  <si>
    <t>HT- IV  Commercial</t>
  </si>
  <si>
    <t>Sub Total</t>
  </si>
  <si>
    <t>Gross fixed assets</t>
  </si>
  <si>
    <t>Cumulative at the end of the year</t>
  </si>
  <si>
    <t>Other Civil works</t>
  </si>
  <si>
    <t xml:space="preserve"> LT Distribution system </t>
  </si>
  <si>
    <t>Meters</t>
  </si>
  <si>
    <t>IT Equipments</t>
  </si>
  <si>
    <t xml:space="preserve">Particulars (specify items) </t>
  </si>
  <si>
    <t>i.</t>
  </si>
  <si>
    <t>Gross Loan -Opening</t>
  </si>
  <si>
    <t>ii.</t>
  </si>
  <si>
    <t>Cumulative repayments of Loans upto previous year</t>
  </si>
  <si>
    <t>iii.</t>
  </si>
  <si>
    <t>Net loan-Opening</t>
  </si>
  <si>
    <t>iv.</t>
  </si>
  <si>
    <t>Add: Drawal(s) during the Year</t>
  </si>
  <si>
    <t>v.</t>
  </si>
  <si>
    <t xml:space="preserve">Less: Repayment (s) of Loans during the year </t>
  </si>
  <si>
    <t>vi</t>
  </si>
  <si>
    <t xml:space="preserve">Net loan - Closing </t>
  </si>
  <si>
    <t>vii</t>
  </si>
  <si>
    <t xml:space="preserve">Average Net Loan </t>
  </si>
  <si>
    <t>viii</t>
  </si>
  <si>
    <t xml:space="preserve">Rate of Interest on Loan on annual basis </t>
  </si>
  <si>
    <t>ix</t>
  </si>
  <si>
    <t>Interest on loan</t>
  </si>
  <si>
    <t>x</t>
  </si>
  <si>
    <t>Loan repayment effective from (date to be indicated)</t>
  </si>
  <si>
    <t>Total Loan</t>
  </si>
  <si>
    <t xml:space="preserve">Interest on Loan </t>
  </si>
  <si>
    <t>Weighted average Rate of Interest on Loans</t>
  </si>
  <si>
    <t>Sl.No.</t>
  </si>
  <si>
    <t>Interest on Working Capital (actual)</t>
  </si>
  <si>
    <t>Ref.</t>
  </si>
  <si>
    <t>Capitalisation</t>
  </si>
  <si>
    <t>Net Fixed Assets net of Consumer Contribution &amp;Grants (at the beginning of the year)</t>
  </si>
  <si>
    <t xml:space="preserve">Rate of return </t>
  </si>
  <si>
    <t>Total return on net fixed assets</t>
  </si>
  <si>
    <t>Description of the  project/Scheme</t>
  </si>
  <si>
    <t>Capital Expenditure</t>
  </si>
  <si>
    <t>Capital Work in Progress</t>
  </si>
  <si>
    <t>Remark</t>
  </si>
  <si>
    <t>Exp. During the year</t>
  </si>
  <si>
    <t>Interest During Const.</t>
  </si>
  <si>
    <t>Transfer to fixed Assets</t>
  </si>
  <si>
    <t>Additions</t>
  </si>
  <si>
    <t>Adjustments</t>
  </si>
  <si>
    <t>Closing balance</t>
  </si>
  <si>
    <t>Asset Description</t>
  </si>
  <si>
    <t>Asset Code</t>
  </si>
  <si>
    <t>Date of commissioning</t>
  </si>
  <si>
    <t>Less</t>
  </si>
  <si>
    <t>Net chargable to revenue</t>
  </si>
  <si>
    <t>Ref</t>
  </si>
  <si>
    <t>Distribution Losses, (%)</t>
  </si>
  <si>
    <t>Collection Efficiency, (%)</t>
  </si>
  <si>
    <t>(a)</t>
  </si>
  <si>
    <t>(b)</t>
  </si>
  <si>
    <t>(c)</t>
  </si>
  <si>
    <t>4 (a)</t>
  </si>
  <si>
    <t>Percentage of consumers billed</t>
  </si>
  <si>
    <t>4 (b)</t>
  </si>
  <si>
    <t>Revenue realisation , (Rs Cr)</t>
  </si>
  <si>
    <t>Stopped Meters %</t>
  </si>
  <si>
    <t>6 (a)</t>
  </si>
  <si>
    <t>Defective meters/metering arrangement%</t>
  </si>
  <si>
    <t>6 (b)</t>
  </si>
  <si>
    <t>Replacement of Defective meters, %</t>
  </si>
  <si>
    <t>Supply availability %</t>
  </si>
  <si>
    <t>(1)</t>
  </si>
  <si>
    <t xml:space="preserve">Base Load supply availability </t>
  </si>
  <si>
    <t>Actual contracted Base Load supply in MW</t>
  </si>
  <si>
    <t>Base Load in MW</t>
  </si>
  <si>
    <t>Base Load supply availability (%) (c=a/b)</t>
  </si>
  <si>
    <t>(2)</t>
  </si>
  <si>
    <t xml:space="preserve">Peak Load supply availability </t>
  </si>
  <si>
    <t>(d)</t>
  </si>
  <si>
    <t>(e)</t>
  </si>
  <si>
    <t>Peak load in MW</t>
  </si>
  <si>
    <t>(f)</t>
  </si>
  <si>
    <t>Supply availability %(0.75*c + 0.25*f)</t>
  </si>
  <si>
    <t xml:space="preserve">Transformer failure rate </t>
  </si>
  <si>
    <t>a.</t>
  </si>
  <si>
    <t>Distribution transformers (%)</t>
  </si>
  <si>
    <t>b.</t>
  </si>
  <si>
    <t>Power transformers (%)</t>
  </si>
  <si>
    <t>Energy Input</t>
  </si>
  <si>
    <t>Energy Sales</t>
  </si>
  <si>
    <t>Distribution Loss</t>
  </si>
  <si>
    <t>Overall Distribution Loss</t>
  </si>
  <si>
    <t>Consumer Category &amp; Consumption Slab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</si>
  <si>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</si>
  <si>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</si>
  <si>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</si>
  <si>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</si>
  <si>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</si>
  <si>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</si>
  <si>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</si>
  <si>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</si>
  <si>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</si>
  <si>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</si>
  <si>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</si>
  <si>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</si>
  <si>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Approved</t>
  </si>
  <si>
    <t>Total (a+b+c)</t>
  </si>
  <si>
    <t>II. EXPENDITURE</t>
  </si>
  <si>
    <t xml:space="preserve">  -  Interest &amp; Finance Charges</t>
  </si>
  <si>
    <t xml:space="preserve">  -  Other Expenses</t>
  </si>
  <si>
    <t>Total Expenditure (f-g+h+i+j+k)</t>
  </si>
  <si>
    <t xml:space="preserve">    Sources of Funds:</t>
  </si>
  <si>
    <t xml:space="preserve">        Reserves &amp; Surplus </t>
  </si>
  <si>
    <t xml:space="preserve">        Total (A)</t>
  </si>
  <si>
    <t xml:space="preserve">      Loan from others :</t>
  </si>
  <si>
    <t xml:space="preserve">                                                     -Secured</t>
  </si>
  <si>
    <t xml:space="preserve">                                                    -Unsecured</t>
  </si>
  <si>
    <t xml:space="preserve">      Total (B)</t>
  </si>
  <si>
    <t>Provident Fund</t>
  </si>
  <si>
    <t>Terminal Benefit Fund</t>
  </si>
  <si>
    <t xml:space="preserve"> Borrowings for working capital</t>
  </si>
  <si>
    <t>Grand total of sources of funds (A+B+C)</t>
  </si>
  <si>
    <t>Application of Funds:</t>
  </si>
  <si>
    <t xml:space="preserve">    a) Gross fixed assets</t>
  </si>
  <si>
    <t xml:space="preserve">    b) Less accumulated depreciation</t>
  </si>
  <si>
    <t xml:space="preserve">    c) Net Fixed assets( (a)-(b) )</t>
  </si>
  <si>
    <t xml:space="preserve">   d) Capital works in progress</t>
  </si>
  <si>
    <t xml:space="preserve">   e) Assets not in use</t>
  </si>
  <si>
    <t xml:space="preserve">    f) Deferred costs</t>
  </si>
  <si>
    <t xml:space="preserve">    g) Intangible assets</t>
  </si>
  <si>
    <t xml:space="preserve">    h) Investments</t>
  </si>
  <si>
    <t xml:space="preserve">        Total (c) +(d)+(e)+(f)+(g)+(h)</t>
  </si>
  <si>
    <t>B)Subsidy receivable from Government</t>
  </si>
  <si>
    <t>Contribution receivable from State Government towards pension liability</t>
  </si>
  <si>
    <t>(1) Current assets, loans and advances</t>
  </si>
  <si>
    <t>a) Inventories*</t>
  </si>
  <si>
    <t>b) Receivables against Sale of Power</t>
  </si>
  <si>
    <t>c) Cash &amp; bank balances</t>
  </si>
  <si>
    <t>d) Loans and advances</t>
  </si>
  <si>
    <t>e) Sundry receivables</t>
  </si>
  <si>
    <t xml:space="preserve">  Total (C) (1)</t>
  </si>
  <si>
    <t>(2) Current liabilities &amp; provisions</t>
  </si>
  <si>
    <t>a) Security Deposits from Consumers</t>
  </si>
  <si>
    <t>c) Payments due on Cap. liabilities</t>
  </si>
  <si>
    <t>d) Other current liabilities</t>
  </si>
  <si>
    <t xml:space="preserve">  Total (C) (2)</t>
  </si>
  <si>
    <t>Net Current Assets  (C(1)) - (C(2))</t>
  </si>
  <si>
    <t>Grand Total of Application of funds (A)+(B)+(C)</t>
  </si>
  <si>
    <t>I</t>
  </si>
  <si>
    <t>Net Funds from Operations</t>
  </si>
  <si>
    <t>1a</t>
  </si>
  <si>
    <t>Net Funds from Earnings :</t>
  </si>
  <si>
    <t xml:space="preserve">              Less : Income Tax Payment during the year</t>
  </si>
  <si>
    <t xml:space="preserve">                  Total of (a)</t>
  </si>
  <si>
    <t xml:space="preserve">   b.    Add: Debits to revenue account not requiring cash Flow:</t>
  </si>
  <si>
    <t xml:space="preserve">              I) Depreciation</t>
  </si>
  <si>
    <t xml:space="preserve">              ii) Amortisation of Deferred costs</t>
  </si>
  <si>
    <t xml:space="preserve">              iii) Amortisation of Intangible Assets</t>
  </si>
  <si>
    <t xml:space="preserve">              iv) Investment Allowance Reserve</t>
  </si>
  <si>
    <t xml:space="preserve">                  Total of (b)</t>
  </si>
  <si>
    <t xml:space="preserve">   c. Less : Credits to revenue Account not involving cash receipts</t>
  </si>
  <si>
    <t xml:space="preserve">              I) Deprecation</t>
  </si>
  <si>
    <t xml:space="preserve">              ii) Subsidies receivables  </t>
  </si>
  <si>
    <t xml:space="preserve">             iii) Revenue gap</t>
  </si>
  <si>
    <t xml:space="preserve">                  Total of (c)</t>
  </si>
  <si>
    <t xml:space="preserve">    Net Funds from Earnings  (a)+(b)-(c )</t>
  </si>
  <si>
    <t>Contributions, Grants &amp; Subsidies to cost of Capital Assets</t>
  </si>
  <si>
    <t>Security Deposit from consumers</t>
  </si>
  <si>
    <t>Proceeds from disposal of fixed Assets</t>
  </si>
  <si>
    <t>Total Funds from Operations (1+2+3+4)</t>
  </si>
  <si>
    <t>Net Increase/(Decrease) in working Capital</t>
  </si>
  <si>
    <t xml:space="preserve">        (a) Increase/(Decrease) in Current Assets</t>
  </si>
  <si>
    <t xml:space="preserve">             I) Inventories</t>
  </si>
  <si>
    <t xml:space="preserve">             ii) Receivables against sale of power</t>
  </si>
  <si>
    <t xml:space="preserve">             iii) Loans and Advances</t>
  </si>
  <si>
    <t xml:space="preserve">             iv) Sundry receivables</t>
  </si>
  <si>
    <t xml:space="preserve">              v)Subsidy receivables</t>
  </si>
  <si>
    <t xml:space="preserve">                 Total of (a)</t>
  </si>
  <si>
    <t xml:space="preserve">        (b) Increase/(Decrease) in Current liabilities</t>
  </si>
  <si>
    <t xml:space="preserve">             I)Borrowings for working Capital</t>
  </si>
  <si>
    <t xml:space="preserve">             ii) Other current liabilities</t>
  </si>
  <si>
    <t xml:space="preserve">             iii) Others (Increase in Reserve + payment due on cap.liab)</t>
  </si>
  <si>
    <t xml:space="preserve">                 Total of (b)</t>
  </si>
  <si>
    <t xml:space="preserve">        Net Increase/(Decrease ) in working Capital (a)- (b)</t>
  </si>
  <si>
    <t>Net Funds from operations before subsidies and Grants ( 5-6 )</t>
  </si>
  <si>
    <t>Receipts from revenue subsidies and Grants</t>
  </si>
  <si>
    <t xml:space="preserve">  Total Net Funds from operations including subsidies &amp; Grants (7+8)</t>
  </si>
  <si>
    <t>II.</t>
  </si>
  <si>
    <t>Net increase/ decrease in Capital liabilities</t>
  </si>
  <si>
    <t xml:space="preserve">        a). Fresh borrowings</t>
  </si>
  <si>
    <t xml:space="preserve">              I) State Loans</t>
  </si>
  <si>
    <t xml:space="preserve">              ii) Foreign currency Loans / Credits</t>
  </si>
  <si>
    <t xml:space="preserve">              iii) Other borrowings </t>
  </si>
  <si>
    <t xml:space="preserve">        b) Repayments :</t>
  </si>
  <si>
    <t xml:space="preserve">               I) State Loans</t>
  </si>
  <si>
    <t xml:space="preserve">               ii) Foreign currency Loans / Credits</t>
  </si>
  <si>
    <t xml:space="preserve">               iii) Other borrowings </t>
  </si>
  <si>
    <t xml:space="preserve">       Net Increase/(Decrease) in Capital liabilities (a) - (b)</t>
  </si>
  <si>
    <t>III.</t>
  </si>
  <si>
    <t>Increase/(Decrease ) in equity Capital</t>
  </si>
  <si>
    <t>IV.</t>
  </si>
  <si>
    <t>Total Funds available for Capital Expenditure (I+II+III)</t>
  </si>
  <si>
    <t>V</t>
  </si>
  <si>
    <t>Funds utilised on Capital Expenditure</t>
  </si>
  <si>
    <t xml:space="preserve">        a)On projects</t>
  </si>
  <si>
    <t xml:space="preserve">        b)Advance to Suppliers &amp; Contractors</t>
  </si>
  <si>
    <t xml:space="preserve">        c) Intangible Assets</t>
  </si>
  <si>
    <t xml:space="preserve">        d) Deferred Cost</t>
  </si>
  <si>
    <t xml:space="preserve">                Total of V (a+b+c+d )</t>
  </si>
  <si>
    <t>VI</t>
  </si>
  <si>
    <t>Net Increase/(Decrease ) in Government contribution</t>
  </si>
  <si>
    <t>VII</t>
  </si>
  <si>
    <t>Net Increase/(Decrease ) in Terminal benefit fund</t>
  </si>
  <si>
    <t>VIII</t>
  </si>
  <si>
    <t>Net Increase/(Decrease ) in Provident fund</t>
  </si>
  <si>
    <t>IX</t>
  </si>
  <si>
    <t>Net Increase/(Decrease ) in investments</t>
  </si>
  <si>
    <t>X</t>
  </si>
  <si>
    <t>Net Increase /(Decrease ) in cash / bank balance ( IV - V- VI )</t>
  </si>
  <si>
    <t>XI</t>
  </si>
  <si>
    <t>Add opening cash &amp; Bank balance</t>
  </si>
  <si>
    <t>XII</t>
  </si>
  <si>
    <t>Closing Cash &amp; Bank balance ( VII+VIII )</t>
  </si>
  <si>
    <t>KSEB</t>
  </si>
  <si>
    <t>2015-16</t>
  </si>
  <si>
    <t>Name of Distribution Business/Licensee      : TECHNOPARK</t>
  </si>
  <si>
    <t>Licensed Area of Supply   : Technopark premises at TVM &amp; Kollam</t>
  </si>
  <si>
    <t>(Rs Lakhs)</t>
  </si>
  <si>
    <t>Peak Load Supply Availability (%) (f=d/e)</t>
  </si>
  <si>
    <t>(kWh)</t>
  </si>
  <si>
    <t>Units Sold (Lakhs Units)</t>
  </si>
  <si>
    <t>Self consumption</t>
  </si>
  <si>
    <t>Name of Distribution Business/Licensee  : TECHNOPARK</t>
  </si>
  <si>
    <t>Energy Purchased in Lakhs Units</t>
  </si>
  <si>
    <t>NA</t>
  </si>
  <si>
    <t>Other Allowances ( CCA)</t>
  </si>
  <si>
    <t xml:space="preserve">Self Consumption </t>
  </si>
  <si>
    <t>Licensed Area of Supply   : Technopark Campus</t>
  </si>
  <si>
    <t>Name of Distribution Business/Licensee  : Electronics Technology Parks - Kerala (Technopark)</t>
  </si>
  <si>
    <t>Power factor incentive</t>
  </si>
  <si>
    <t xml:space="preserve">Power factor penalty
</t>
  </si>
  <si>
    <t xml:space="preserve">Name of Distribution Business/Licensee   : Electronics Technology Parks - Kerala (Technopark)    </t>
  </si>
  <si>
    <t>Actual Contracted Peak Load Supply in MW</t>
  </si>
  <si>
    <t>Demand
 /Fixed  charges
Rs</t>
  </si>
  <si>
    <t>Energy Charges 
Rs</t>
  </si>
  <si>
    <t>Grant</t>
  </si>
  <si>
    <t>Own Source</t>
  </si>
  <si>
    <t>Dec'2005</t>
  </si>
  <si>
    <t>Closing Balance of WIP as on 31.03.2016</t>
  </si>
  <si>
    <t>LT – IV B IT/ITES above 20kW (TOD)</t>
  </si>
  <si>
    <t>LT – IV B IT/ITES below 10kW</t>
  </si>
  <si>
    <t>LT – IV B IT/ITES above 10kW up to 20kW</t>
  </si>
  <si>
    <t>LT – IV B IT/ITES above 20kW</t>
  </si>
  <si>
    <t>LT - VI (A) General</t>
  </si>
  <si>
    <t>LT VI (B) General</t>
  </si>
  <si>
    <t>LT VI ( c ) General (1ph or 3 ph)</t>
  </si>
  <si>
    <t>LT VI (F) General (1 ph)</t>
  </si>
  <si>
    <t>LT VII (A) Commercial  (1-Ph)</t>
  </si>
  <si>
    <t>LT VI (F) General (3 ph)</t>
  </si>
  <si>
    <t>LT VII (A) Commercial  (3-Ph)</t>
  </si>
  <si>
    <t xml:space="preserve">LT VII (B) Commercial </t>
  </si>
  <si>
    <t>LT IV A Industrial below 10 KW</t>
  </si>
  <si>
    <t>LT IV A Industrial above 10 KW below 20 KW</t>
  </si>
  <si>
    <t>LT IV A Industrial above 20 KW</t>
  </si>
  <si>
    <t>LT VIII (B) Metered Street Lights</t>
  </si>
  <si>
    <t>b) Borrowings for working capital</t>
  </si>
  <si>
    <t xml:space="preserve">LT Distribution system </t>
  </si>
  <si>
    <t xml:space="preserve">              v) Others, if any - i Fixed Asset Addition and WIP transfer</t>
  </si>
  <si>
    <t xml:space="preserve">                   (ii) Prior Period Adjustments</t>
  </si>
  <si>
    <t>Chargable to Capital</t>
  </si>
  <si>
    <t>Opening</t>
  </si>
  <si>
    <t>Demand</t>
  </si>
  <si>
    <t>Closing</t>
  </si>
  <si>
    <t>Collection</t>
  </si>
  <si>
    <t>Collection %</t>
  </si>
  <si>
    <t>6 (3 + 4 - 5)</t>
  </si>
  <si>
    <t>7 ((6 / 4)x100)</t>
  </si>
  <si>
    <t>HT – I Industrial</t>
  </si>
  <si>
    <t>HT II Non Industrial /Non Commercial</t>
  </si>
  <si>
    <t xml:space="preserve">HT IV Commercial </t>
  </si>
  <si>
    <t>LT IV (A) Industry above10kW up to 20 Kw</t>
  </si>
  <si>
    <t>LT IV (A) Industry above 20kW</t>
  </si>
  <si>
    <t>LT – IV B IT &amp; ITES (Of and below 10kW)</t>
  </si>
  <si>
    <t>LT – IV B IT &amp; ITES (above 10kW up to 20kW)</t>
  </si>
  <si>
    <t>LT – IV B IT &amp; ITES (above 20kW)</t>
  </si>
  <si>
    <t>LT VI GENERAL (A)</t>
  </si>
  <si>
    <t>LT VI GENERAL (B)</t>
  </si>
  <si>
    <t>LT VI C GENERAL ((1-Ph &amp; 3-Ph)</t>
  </si>
  <si>
    <t>LT VI F GENERAL ((3-Ph )</t>
  </si>
  <si>
    <t>LT - VII (B ) Commercial</t>
  </si>
  <si>
    <t>HT Total</t>
  </si>
  <si>
    <t>LT Total</t>
  </si>
  <si>
    <t>Others Total</t>
  </si>
  <si>
    <t>Grand Total</t>
  </si>
  <si>
    <t>Name of Distribution Business/Licensee    : Technopark</t>
  </si>
  <si>
    <t>Name of Distribution Business/Licensee : Electronics Technology Parks - Kerala (Technopark)</t>
  </si>
  <si>
    <t>(Rs.)</t>
  </si>
  <si>
    <t>CASH FLOW STATEMENT AS PER " AS 3 CASH FLOW STATEMENT"</t>
  </si>
  <si>
    <t>PARTICULARS</t>
  </si>
  <si>
    <t>AMOUNT</t>
  </si>
  <si>
    <t>Cash flow from Operating activities</t>
  </si>
  <si>
    <t>Net Profit before taxation and extraordinary item</t>
  </si>
  <si>
    <t>Non Cash and Non operating activities</t>
  </si>
  <si>
    <t>Depreciation and amortization</t>
  </si>
  <si>
    <t>Operating profit before working capital changes</t>
  </si>
  <si>
    <t>Prior period adjustments</t>
  </si>
  <si>
    <t>Increase in Electricity deposit</t>
  </si>
  <si>
    <t>Increase in work deposit</t>
  </si>
  <si>
    <t>Increase in advance paid</t>
  </si>
  <si>
    <t>Increase in Electricity connection deposit received</t>
  </si>
  <si>
    <t>Increase in KSEB payment</t>
  </si>
  <si>
    <t>Cash flow before extraordinary items</t>
  </si>
  <si>
    <t>Additional loan taken during the year- Electonics Technology Park Kerala</t>
  </si>
  <si>
    <t>Cash generated from Operating Activities</t>
  </si>
  <si>
    <t>Cash flow from Investing Activities</t>
  </si>
  <si>
    <t>Purchase of  Fixed assets</t>
  </si>
  <si>
    <t>Transfer from Work In Progress</t>
  </si>
  <si>
    <t>Net cash used in Investing Activities</t>
  </si>
  <si>
    <t>Cash flow from Financing Activities</t>
  </si>
  <si>
    <t>Repayment of long term loans:</t>
  </si>
  <si>
    <t>Canara Bank Term loan (Thejaswini)</t>
  </si>
  <si>
    <t>South Indian Bank (110 K V SS)</t>
  </si>
  <si>
    <t xml:space="preserve"> Cash used in Financing Activities</t>
  </si>
  <si>
    <t>Net Increase in Cash and Cash Equivalents</t>
  </si>
  <si>
    <t>Cash and Cash Equivalents at the beginning of the period</t>
  </si>
  <si>
    <t>Cash and Cash Equivalents at the end of the period</t>
  </si>
  <si>
    <t>kVA</t>
  </si>
  <si>
    <t>2016-17</t>
  </si>
  <si>
    <t>Loan 1 (Canara Bank) for Tejaswini building</t>
  </si>
  <si>
    <t>Loan 2 (South Indian Bank &amp; Federal Bank) for TP PH-3</t>
  </si>
  <si>
    <t xml:space="preserve">        Governmet Grants</t>
  </si>
  <si>
    <t>LT IV (A) Industry (Of and below 10kW)</t>
  </si>
  <si>
    <t>Power charges relating to prior period - IIITMK</t>
  </si>
  <si>
    <t>Depreciation for 2015-16 based on old rates now reversed</t>
  </si>
  <si>
    <t>Increase in Trade Recievables</t>
  </si>
  <si>
    <t>Decrease in audit fee payable</t>
  </si>
  <si>
    <t>LT VI (G) General</t>
  </si>
  <si>
    <t>2017-18</t>
  </si>
  <si>
    <t>for the year 2017-18</t>
  </si>
  <si>
    <t>Technopark - Techno Power Account</t>
  </si>
  <si>
    <t>Park Center, Technopark Campus, Trivandrum</t>
  </si>
  <si>
    <t>Increase in bank gaurantee</t>
  </si>
  <si>
    <t>Decrease in prepaid expenses</t>
  </si>
  <si>
    <t>Decrease in Trade Payables</t>
  </si>
  <si>
    <t>Increase in Corpus Fund</t>
  </si>
  <si>
    <t>LT – VIII (B) METERED STREET LIGHTS</t>
  </si>
  <si>
    <t>HT Panel at existing 110kV/11kV SS</t>
  </si>
  <si>
    <t>Electrical Distribution Network - Kollam</t>
  </si>
  <si>
    <t>Supply of 5kV insulation tester - Phase I</t>
  </si>
  <si>
    <t>ARR ORDER SUMMARY</t>
  </si>
  <si>
    <t>No</t>
  </si>
  <si>
    <t>Item</t>
  </si>
  <si>
    <t>Unit</t>
  </si>
  <si>
    <t>FY 2017-18</t>
  </si>
  <si>
    <t>FY 2015-16</t>
  </si>
  <si>
    <t>COUNT</t>
  </si>
  <si>
    <t>CONSUMERS</t>
  </si>
  <si>
    <t>SALES</t>
  </si>
  <si>
    <t>D LOSS</t>
  </si>
  <si>
    <t>%</t>
  </si>
  <si>
    <t xml:space="preserve">P PURCHASE COST </t>
  </si>
  <si>
    <t>Rs LAKHS</t>
  </si>
  <si>
    <t>AVERAGE BST</t>
  </si>
  <si>
    <t>Rs pu</t>
  </si>
  <si>
    <t>I &amp; F CHARGES PROVISIONAL</t>
  </si>
  <si>
    <t>DEPRECIATION</t>
  </si>
  <si>
    <t>EMPLOYEE COST</t>
  </si>
  <si>
    <t>R &amp; M COST</t>
  </si>
  <si>
    <t>A &amp; G  COST</t>
  </si>
  <si>
    <t>ROI  3% NFA</t>
  </si>
  <si>
    <t>TOTAL EXPENSES</t>
  </si>
  <si>
    <t>REVENUE TARIFF</t>
  </si>
  <si>
    <t>NON-TARIFF INCOME</t>
  </si>
  <si>
    <t>REVENUE GAP</t>
  </si>
  <si>
    <t>POWER PURCHASE REQUIRED</t>
  </si>
  <si>
    <t>Order No. OA 35 /2015 DATED 11-04-2016</t>
  </si>
  <si>
    <t>Interest on consumer security deposits etc</t>
  </si>
  <si>
    <t>Revenue Surplus / (Deficit)</t>
  </si>
  <si>
    <t>Form D 1.1 : Summary of Aggregate Revenue Requirement  (FY 2017-18)</t>
  </si>
  <si>
    <t>(FOR REFERENCE)</t>
  </si>
  <si>
    <t>No.</t>
  </si>
  <si>
    <t>Billing Demand</t>
  </si>
  <si>
    <t>Excess demand charges</t>
  </si>
  <si>
    <t xml:space="preserve">Grand Total </t>
  </si>
  <si>
    <t xml:space="preserve">Avg. realisation per KWh </t>
  </si>
  <si>
    <t>Sub Total (LT)</t>
  </si>
  <si>
    <t>Sub Total (HT)</t>
  </si>
  <si>
    <t>Form D 2.1: Revenue from Sale of Power for Finanacial Year  2017-18 (All Phases)</t>
  </si>
  <si>
    <t>CATEGORY</t>
  </si>
  <si>
    <t>LT4AB10</t>
  </si>
  <si>
    <t>LT4AA10</t>
  </si>
  <si>
    <t>LT4BB10</t>
  </si>
  <si>
    <t>LT4BA10</t>
  </si>
  <si>
    <t>TARIFF FROM 18-04-2017</t>
  </si>
  <si>
    <t>EC (Rs/u)</t>
  </si>
  <si>
    <t>FC - Rs/PM</t>
  </si>
  <si>
    <t>FC (Rs/kW)</t>
  </si>
  <si>
    <t>LT6A</t>
  </si>
  <si>
    <t>LT6B</t>
  </si>
  <si>
    <t>LT6C</t>
  </si>
  <si>
    <t>LT6FP1</t>
  </si>
  <si>
    <t>LT6FP3</t>
  </si>
  <si>
    <t>5.50/6.30</t>
  </si>
  <si>
    <t>6.30/7.00</t>
  </si>
  <si>
    <t>Below/above 500U</t>
  </si>
  <si>
    <t>7.00/8.50</t>
  </si>
  <si>
    <t>5.80-9.00</t>
  </si>
  <si>
    <t>for 100-500 U</t>
  </si>
  <si>
    <t>60/180</t>
  </si>
  <si>
    <t>5.50-8.50</t>
  </si>
  <si>
    <t>for 500 - 2000 U</t>
  </si>
  <si>
    <t>LT6G</t>
  </si>
  <si>
    <t>LT7AP1</t>
  </si>
  <si>
    <t>LT7AP3</t>
  </si>
  <si>
    <t>6.00-9.30</t>
  </si>
  <si>
    <t>for 100 - 500 U</t>
  </si>
  <si>
    <t>6.00-9.31</t>
  </si>
  <si>
    <t>LT7B</t>
  </si>
  <si>
    <t>5.00-6.50</t>
  </si>
  <si>
    <t>for 100 - 300 U</t>
  </si>
  <si>
    <t>LT4AA20</t>
  </si>
  <si>
    <t>LT4BA20</t>
  </si>
  <si>
    <t>LT8B ST LIGHT</t>
  </si>
  <si>
    <t>CHECK</t>
  </si>
  <si>
    <t>Net Revenue from Sale of Power</t>
  </si>
  <si>
    <t>HT1B</t>
  </si>
  <si>
    <t>HT2A</t>
  </si>
  <si>
    <t>HT4</t>
  </si>
  <si>
    <t>6.30/7.30</t>
  </si>
  <si>
    <t>Below/Above 30k U</t>
  </si>
  <si>
    <t>HT -II (A) General</t>
  </si>
  <si>
    <t>HT -I (B)  IT &amp; IT Services</t>
  </si>
  <si>
    <t>Rs Lakhs</t>
  </si>
  <si>
    <t>Less: Electricity Duty Payable to Govt. (Contra Entry)</t>
  </si>
  <si>
    <t>Revenue from Charges / Sale of power</t>
  </si>
  <si>
    <t>Interest on investments, FD, Call Deposits &amp; bank balances</t>
  </si>
  <si>
    <t>Form D 2.4 : Non-Tariff Income for FY 2017-18</t>
  </si>
  <si>
    <t>Licensed Area of Supply :  : Technopark Premises at TVM &amp; Kollam          (Rs. in Lakhs)</t>
  </si>
  <si>
    <t>No Statutory Investment ?</t>
  </si>
  <si>
    <t>No Commission on Duty Collection ?</t>
  </si>
  <si>
    <t>Demand/ fixed charges @ Rs/kVA or Rs pm*</t>
  </si>
  <si>
    <t>Energy Charges *
Rs /kWh</t>
  </si>
  <si>
    <t>Form D 2.1: Revenue from Sale of Power for Finanacial Year  2017-18 (Phase-1)</t>
  </si>
  <si>
    <t>Form  D 2.7 : Consumer Contribution, Capital Subsidy and Grant</t>
  </si>
  <si>
    <t>Licensed Area of Supply   : Technopark premises at TVM &amp; Kollam             (Rs. in lakhs)</t>
  </si>
  <si>
    <t>Governemt Grand was for Capital Assets ?</t>
  </si>
  <si>
    <t>Campus</t>
  </si>
  <si>
    <t xml:space="preserve">Source </t>
  </si>
  <si>
    <t>Substation Capacity</t>
  </si>
  <si>
    <t>Max.Demand</t>
  </si>
  <si>
    <t xml:space="preserve">Energy received </t>
  </si>
  <si>
    <t xml:space="preserve">Total Fixed Charges </t>
  </si>
  <si>
    <t>Total Variable Charges</t>
  </si>
  <si>
    <t>Incentive</t>
  </si>
  <si>
    <t>Any Other Charges</t>
  </si>
  <si>
    <t xml:space="preserve">Total Cost </t>
  </si>
  <si>
    <t>Avg cost</t>
  </si>
  <si>
    <t>Lakh Units</t>
  </si>
  <si>
    <t>Rs/kWh</t>
  </si>
  <si>
    <t>Phase-1</t>
  </si>
  <si>
    <t>Phase -2&amp;3</t>
  </si>
  <si>
    <t>Phase -5 Kollam (1)</t>
  </si>
  <si>
    <t>Phase -5 Kollam (2)</t>
  </si>
  <si>
    <t>REC Cost</t>
  </si>
  <si>
    <t>Approved Values</t>
  </si>
  <si>
    <t>Prev Year</t>
  </si>
  <si>
    <t>Form D  3.1 : Power Purchase Expenses ( Year  2017-18)</t>
  </si>
  <si>
    <t>&lt;-- PL CHECK</t>
  </si>
  <si>
    <t xml:space="preserve">Name of Distribution Licensee   : Electronics Technology Parks - Kerala (Technopark)    </t>
  </si>
  <si>
    <t xml:space="preserve">Licensed Area of Supply   : T'puram, Kollam Campuses </t>
  </si>
  <si>
    <t xml:space="preserve"> No.</t>
  </si>
  <si>
    <t>Employee Expenses (Rs Lakhs)</t>
  </si>
  <si>
    <t>R&amp;M Expenses (Rs Lakhs)</t>
  </si>
  <si>
    <t>A&amp;G Expenses  (Rs Lakhs)</t>
  </si>
  <si>
    <t>O&amp;M Expense (Total)</t>
  </si>
  <si>
    <t>Detiails:</t>
  </si>
  <si>
    <t>Form D 3.4(a) : Employee Expenses</t>
  </si>
  <si>
    <t>Licensed Area of Supply   : T'puram, Kollam Campuses                                     (in Rs)</t>
  </si>
  <si>
    <t>Form D 3.4(b) : Administrative &amp; General Expenses</t>
  </si>
  <si>
    <t>License Fee  and related fee</t>
  </si>
  <si>
    <t>Form D 3.4(c) : Repair &amp; Maintenance Expenses</t>
  </si>
  <si>
    <t>Licensed Area of Supply   : Technopark premises at TVM &amp; Kollam                                                         (in Rs)</t>
  </si>
  <si>
    <t>Form D 3.4  : O&amp; M Expenses (FY 2017-18)</t>
  </si>
  <si>
    <t>&lt;-- REC details</t>
  </si>
  <si>
    <t>Form D 3.5 : Fixed Assets &amp; Depreciation  (Year 2016-17)</t>
  </si>
  <si>
    <t>Licensed Area of Supply   : T'puram, Kollam Campuses</t>
  </si>
  <si>
    <t>Asset Group</t>
  </si>
  <si>
    <t>Opening Vlaue</t>
  </si>
  <si>
    <t xml:space="preserve">Additions </t>
  </si>
  <si>
    <t>Closing Value</t>
  </si>
  <si>
    <t>HV Distribution lines</t>
  </si>
  <si>
    <t>HV Substation Transformers</t>
  </si>
  <si>
    <t>LT : Distribution lines</t>
  </si>
  <si>
    <t>LT : Sub-station equipments</t>
  </si>
  <si>
    <t xml:space="preserve">LT : Others </t>
  </si>
  <si>
    <t>Depreciation %</t>
  </si>
  <si>
    <t xml:space="preserve">Depreciation </t>
  </si>
  <si>
    <t>Opening Value (Cumulative)</t>
  </si>
  <si>
    <t xml:space="preserve">Net Fixed Assets </t>
  </si>
  <si>
    <t>Year Opening</t>
  </si>
  <si>
    <t>At Year End</t>
  </si>
  <si>
    <t>Form D 3.5 : Fixed Assets &amp; Depreciation  (Year 2017-18)</t>
  </si>
  <si>
    <t>IT Equipment</t>
  </si>
  <si>
    <t>→</t>
  </si>
  <si>
    <t>PREV YR</t>
  </si>
  <si>
    <t xml:space="preserve">Licensed Area of Supply   : Technopark premises at TVM &amp; Kollam                                 (Rs. In Lakhs) </t>
  </si>
  <si>
    <t>← Pl Check</t>
  </si>
  <si>
    <t>Loan started on  27.7.2015</t>
  </si>
  <si>
    <t>Please Check Loan Calculations</t>
  </si>
  <si>
    <t>Form D 3.6 (a) : Calculation of Weighted Average Rate of Interest on Actual Loans (FY.2017-18)</t>
  </si>
  <si>
    <t>Loan started on  27-07-2015</t>
  </si>
  <si>
    <t>O&amp;M expenses  (1 month)</t>
  </si>
  <si>
    <t>Maintenance Spares (1 month)</t>
  </si>
  <si>
    <t>Regulation 33 (e) (ii) of Tariff Regulation 2014 :</t>
  </si>
  <si>
    <t>Receivables : 2 months ERC</t>
  </si>
  <si>
    <t>Cost of maintenance spares equal to one-twelfth of the sum</t>
  </si>
  <si>
    <t>Less :Security deposits in Cash</t>
  </si>
  <si>
    <t>of the book value of stores, materials and supplies at the</t>
  </si>
  <si>
    <t xml:space="preserve">Less : Cost of Power Purchase </t>
  </si>
  <si>
    <t>end of each month of the financial year; plus</t>
  </si>
  <si>
    <t xml:space="preserve">Interest Rate </t>
  </si>
  <si>
    <t>Nil*</t>
  </si>
  <si>
    <t>Form D 3.7 : Interest on Working Capital  (FY 2017-18)</t>
  </si>
  <si>
    <t>Total Working Capital requirement</t>
  </si>
  <si>
    <t>Name of DistributionLicensee : Electronics Technology Parks - Kerala (Technopark)</t>
  </si>
  <si>
    <t>Licensed Area of Supply   : Technopark premises at TVM &amp; Kollam        (Rs Lakhs)</t>
  </si>
  <si>
    <t>Technopark-Return on Investment approved for the control period (Rs. Lakh)</t>
  </si>
  <si>
    <t>Gross Assets (after adjusting consumer contribution)</t>
  </si>
  <si>
    <t>Cumulative Depreciation as on 01-04-2015</t>
  </si>
  <si>
    <t>Depreciation approved during the year</t>
  </si>
  <si>
    <t>Net Fixed Assets as on beginning of FY</t>
  </si>
  <si>
    <t>Rate of Return</t>
  </si>
  <si>
    <t>RoE allowed</t>
  </si>
  <si>
    <t xml:space="preserve">Commission Order OA 35/2015 </t>
  </si>
  <si>
    <t>Form D 3.8 : Return on Net Fixed Assets (FY 2017-18)</t>
  </si>
  <si>
    <t>Form D 4.1 : Project-wise / Scheme-wise Capital Expenditure ( Year 2016-17)</t>
  </si>
  <si>
    <t>Licensed Area of Supply   : Technopark premises at TVM &amp; Kollam (Rs Lakhs)</t>
  </si>
  <si>
    <t>HV Sub-station equipments</t>
  </si>
  <si>
    <t xml:space="preserve">LT Others </t>
  </si>
  <si>
    <t>Gross Asset</t>
  </si>
  <si>
    <t>Form D 4.1 : Project-wise / Scheme-wise Capital Expenditure ( Year 2017-18)</t>
  </si>
  <si>
    <t>Opening Balance as on 01-04-2017</t>
  </si>
  <si>
    <t>Opening Balance as on 01-04-2016</t>
  </si>
  <si>
    <t>Form  D 4.2 : Consolidated report on additions to Fixed Assets ( Year 2016-17)</t>
  </si>
  <si>
    <t>Licensed Area of Supply   : Technopark premises at TVM &amp; Kollam             (Rs Lakhs)</t>
  </si>
  <si>
    <t>Asset Additions</t>
  </si>
  <si>
    <t>SITC Electrical sub panel - Kollam</t>
  </si>
  <si>
    <t>VCB at Kollam</t>
  </si>
  <si>
    <t>LT Distribution Lines - Gayatri</t>
  </si>
  <si>
    <t>SITC of LED - Gayatri</t>
  </si>
  <si>
    <t>SITC LED Street Light - Phase I</t>
  </si>
  <si>
    <t>SITC Distribution Board - Phase III</t>
  </si>
  <si>
    <t>SITC Electrical sub panel - Phase III</t>
  </si>
  <si>
    <t>SITC Street Light - Phase III</t>
  </si>
  <si>
    <t>110 kV Substation - Technocity</t>
  </si>
  <si>
    <t>Form  D 4.2 : Consolidated report on additions to Fixed Assets ( Year 2017-18)</t>
  </si>
  <si>
    <t>Name of Distribution Licensee : Electronics Technology Parks - Kerala (Technopark)</t>
  </si>
  <si>
    <t>Form D 4.3 : General (Other debits, write offs or any other items)</t>
  </si>
  <si>
    <t xml:space="preserve">Licensed Area of Supply   : Technopark premises at TVM &amp; Kollam (Rs. In Lakhs) </t>
  </si>
  <si>
    <t xml:space="preserve">No. </t>
  </si>
  <si>
    <t>Phase -1</t>
  </si>
  <si>
    <t>Phase - 2&amp;3</t>
  </si>
  <si>
    <t>Phase-5 Kollam</t>
  </si>
  <si>
    <t xml:space="preserve">Approved </t>
  </si>
  <si>
    <t>Prev year</t>
  </si>
  <si>
    <t>Form D 6.2 : Appropriation of Distribution loss (FY 2017-18)</t>
  </si>
  <si>
    <t>Form D 6.2 : Appropriation of Distribution loss (FY 2016-17)</t>
  </si>
  <si>
    <t>Phase-5 Kollam (1&amp;2)</t>
  </si>
  <si>
    <t>PREV YEAR ↓</t>
  </si>
  <si>
    <t>Percentage</t>
  </si>
  <si>
    <t>Form D 6.1 : Improvement in performance</t>
  </si>
  <si>
    <t>Licensed Area of Supply  : Technopark premises at TVM &amp; Kollam</t>
  </si>
  <si>
    <t>Check Loss Figure</t>
  </si>
  <si>
    <t>Form D 7.1 : Category-wise Sales (FY 2017-18)</t>
  </si>
  <si>
    <t>HT Category Total</t>
  </si>
  <si>
    <t>LT  Category Total</t>
  </si>
  <si>
    <t>Grand Total consumption (Lakh Units)</t>
  </si>
  <si>
    <t>Licensed Area of Supply : Phase -1 Kazhakkuttam Campus</t>
  </si>
  <si>
    <t>II</t>
  </si>
  <si>
    <t>(i)</t>
  </si>
  <si>
    <t xml:space="preserve">(c) </t>
  </si>
  <si>
    <t>(g)</t>
  </si>
  <si>
    <t>(h)</t>
  </si>
  <si>
    <t xml:space="preserve"> INCOME</t>
  </si>
  <si>
    <t>(j)</t>
  </si>
  <si>
    <t>(k)</t>
  </si>
  <si>
    <t>(l)</t>
  </si>
  <si>
    <t>III</t>
  </si>
  <si>
    <t>Profit /(Loss) before Tax (I-II)</t>
  </si>
  <si>
    <t>IV</t>
  </si>
  <si>
    <t>Revenue Subsidies and Grants</t>
  </si>
  <si>
    <t>Other Income</t>
  </si>
  <si>
    <t>Repairs and Maintenance</t>
  </si>
  <si>
    <t>Employee Cost</t>
  </si>
  <si>
    <t>Administration and General Expenses</t>
  </si>
  <si>
    <t>Interest and Finance charges</t>
  </si>
  <si>
    <t>Subtotal ( a+b+c+d+e)</t>
  </si>
  <si>
    <t>Less Capitalised Expenses:</t>
  </si>
  <si>
    <t>Other Debits</t>
  </si>
  <si>
    <t>Extra Ordinary Items</t>
  </si>
  <si>
    <t>Purchase of power</t>
  </si>
  <si>
    <t>Generation of Power</t>
  </si>
  <si>
    <t>Return on Equity</t>
  </si>
  <si>
    <t>Provision for Income Tax</t>
  </si>
  <si>
    <t>Net Prior period credits (Charges )</t>
  </si>
  <si>
    <t>Surplus (Deficit )</t>
  </si>
  <si>
    <t>Net Assets at the beginning of the year (Less consumer's Contribution )</t>
  </si>
  <si>
    <t>Rate of Return (VI / VII) in %</t>
  </si>
  <si>
    <t>(A)</t>
  </si>
  <si>
    <t>(B)</t>
  </si>
  <si>
    <t xml:space="preserve">(C) </t>
  </si>
  <si>
    <t>Capital Funds:</t>
  </si>
  <si>
    <t>Loan from State Government</t>
  </si>
  <si>
    <t>Contribution, grants &amp; subsidies towards cost of capital assets</t>
  </si>
  <si>
    <t>Form D BS : Balance Sheet at the end of the year 2017-18</t>
  </si>
  <si>
    <t>Form D CF : Cash Flow for the year 2017-18</t>
  </si>
  <si>
    <t>a.Profit before tax and before revenue subsidies and grants</t>
  </si>
  <si>
    <t>Net Current Assets</t>
  </si>
  <si>
    <t>Fixed assets</t>
  </si>
  <si>
    <t xml:space="preserve"> Self Consumption LT IV (B) Above 20 Kw</t>
  </si>
  <si>
    <t>Form D 7.3 : Collection Efficiency (FY 2017-18)</t>
  </si>
  <si>
    <t xml:space="preserve"> </t>
  </si>
  <si>
    <t>Approved ARR</t>
  </si>
  <si>
    <r>
      <t>Licensed Area of Supply   : Technopark Premises at TVM &amp; Kollam                                  (</t>
    </r>
    <r>
      <rPr>
        <b/>
        <sz val="12"/>
        <rFont val="Book Antiqua"/>
        <family val="1"/>
      </rPr>
      <t>Rs .in Lakhs)</t>
    </r>
  </si>
  <si>
    <t>Others (includes Technocity purchase)</t>
  </si>
  <si>
    <r>
      <t xml:space="preserve">Phase-1 </t>
    </r>
    <r>
      <rPr>
        <b/>
        <sz val="12"/>
        <color theme="1"/>
        <rFont val="Book Antiqua"/>
        <family val="1"/>
      </rPr>
      <t>(Plant &amp; Mach Only)</t>
    </r>
  </si>
  <si>
    <r>
      <t xml:space="preserve">Phase 2 &amp; 3            </t>
    </r>
    <r>
      <rPr>
        <b/>
        <sz val="12"/>
        <color theme="1"/>
        <rFont val="Book Antiqua"/>
        <family val="1"/>
      </rPr>
      <t xml:space="preserve">  (do)</t>
    </r>
  </si>
  <si>
    <r>
      <t xml:space="preserve">Phase -5 Kollam     </t>
    </r>
    <r>
      <rPr>
        <b/>
        <sz val="12"/>
        <color theme="1"/>
        <rFont val="Book Antiqua"/>
        <family val="1"/>
      </rPr>
      <t xml:space="preserve"> (do)</t>
    </r>
  </si>
  <si>
    <r>
      <rPr>
        <b/>
        <i/>
        <sz val="12"/>
        <color indexed="8"/>
        <rFont val="Book Antiqua"/>
        <family val="1"/>
      </rPr>
      <t>Note:</t>
    </r>
    <r>
      <rPr>
        <i/>
        <sz val="12"/>
        <color indexed="8"/>
        <rFont val="Book Antiqua"/>
        <family val="1"/>
      </rPr>
      <t xml:space="preserve"> There is no Loan in Foreign Currency</t>
    </r>
  </si>
  <si>
    <t>Aproved ARR</t>
  </si>
  <si>
    <r>
      <t xml:space="preserve">Depreciation for </t>
    </r>
    <r>
      <rPr>
        <b/>
        <sz val="11"/>
        <color rgb="FFFF0000"/>
        <rFont val="Book Antiqua"/>
        <family val="1"/>
      </rPr>
      <t xml:space="preserve">2015-16 </t>
    </r>
    <r>
      <rPr>
        <sz val="11"/>
        <rFont val="Book Antiqua"/>
        <family val="1"/>
      </rPr>
      <t>based on new rates</t>
    </r>
  </si>
  <si>
    <t>Shall we include Interest paid to Customers in this.</t>
  </si>
  <si>
    <t>5.5/6.3</t>
  </si>
  <si>
    <t>6.3/7</t>
  </si>
  <si>
    <t>7/8.5</t>
  </si>
  <si>
    <t>5.8/6.5/7.2/7.8/9</t>
  </si>
  <si>
    <t>6/6.7/7.4/8/9.3</t>
  </si>
  <si>
    <t>4.7/5.7/6.3</t>
  </si>
  <si>
    <t>Audit Fees / Energy Audit</t>
  </si>
  <si>
    <t>Audit Fee for 2015-16 provided now reversed</t>
  </si>
  <si>
    <t>Licensed Area of Supply : Technopark Kollam Campus</t>
  </si>
  <si>
    <t>HT I (IT &amp; TES</t>
  </si>
  <si>
    <t>HT -2( Non Industrial,Non Commercial)</t>
  </si>
  <si>
    <t>HT -4 ( Commercial)</t>
  </si>
  <si>
    <t>LT IV (A) Industrial</t>
  </si>
  <si>
    <t>LT IV (B) IT/ITES</t>
  </si>
  <si>
    <t>LT IV (B) IT/ITES (Connected load of and below 10kW)</t>
  </si>
  <si>
    <t>LT – IV B IT &amp; ITES (Connected load above 10kW and upto 20kW)</t>
  </si>
  <si>
    <t>LT – IV B IT &amp; ITES (Connected load above 20kW)</t>
  </si>
  <si>
    <t xml:space="preserve">LT VI General (C) </t>
  </si>
  <si>
    <t>LT VI General (F) (1-ph)</t>
  </si>
  <si>
    <t>LT VI General (F) (3-ph)</t>
  </si>
  <si>
    <t>LT VII Commercial (A) (3-ph)</t>
  </si>
  <si>
    <t>LT  Total</t>
  </si>
  <si>
    <t>Grand Total consumption</t>
  </si>
  <si>
    <t>Licensed Area of Supply : Phase -II &amp; III Kazhakkuttam Campus</t>
  </si>
  <si>
    <t>Energy Audit</t>
  </si>
  <si>
    <t>Electrificaiton of IT Building Phase III</t>
  </si>
  <si>
    <t>MADHAVAN PRAVEEN</t>
  </si>
  <si>
    <t>JAYANTHI L</t>
  </si>
  <si>
    <t>DGM (PROJECTS)</t>
  </si>
  <si>
    <t>CHIEF FINANCE OFFICER</t>
  </si>
  <si>
    <t>SASI PILACHERI MEETHAL</t>
  </si>
  <si>
    <t>Schedule and Notes attached</t>
  </si>
  <si>
    <t>CHIEF EXECUTIVE OFFICER</t>
  </si>
  <si>
    <t>As per our report of even date attached</t>
  </si>
  <si>
    <t>Thiruvananthapuram</t>
  </si>
  <si>
    <t>27.05.2020</t>
  </si>
  <si>
    <t>Form D P&amp;L : Profit &amp; Loss Account (FY 2017-18)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</si>
</sst>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0_)"/>
    <numFmt numFmtId="165" formatCode="&quot;ß&quot;#,##0.00_);\(&quot;ß&quot;#,##0.00\)"/>
    <numFmt numFmtId="166" formatCode="0.0"/>
    <numFmt numFmtId="167" formatCode="_(* #,##0_);_(* \(#,##0\);_(* &quot;-&quot;??_);_(@_)"/>
    <numFmt numFmtId="168" formatCode="0.0000000"/>
    <numFmt numFmtId="169" formatCode="_ * #,##0.00_ ;_ * \-#,##0.00_ ;_ * &quot;-&quot;??_ ;_ @_ "/>
    <numFmt numFmtId="170" formatCode="0.000%"/>
    <numFmt numFmtId="171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HP Simplified"/>
      <family val="2"/>
    </font>
    <font>
      <sz val="11"/>
      <color theme="1"/>
      <name val="HP Simplified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sz val="12"/>
      <name val="Tms Rmn"/>
    </font>
    <font>
      <sz val="10"/>
      <name val="Helv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2"/>
      <name val="Book Antiqua"/>
      <family val="1"/>
    </font>
    <font>
      <b/>
      <sz val="10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1"/>
      <color theme="1"/>
      <name val="HP Simplified"/>
      <family val="2"/>
    </font>
    <font>
      <sz val="8"/>
      <name val="Calibri"/>
      <family val="2"/>
      <scheme val="minor"/>
    </font>
    <font>
      <b/>
      <sz val="10"/>
      <name val="HP Simplified"/>
      <family val="2"/>
    </font>
    <font>
      <sz val="10"/>
      <name val="HP Simplified"/>
      <family val="2"/>
    </font>
    <font>
      <sz val="10"/>
      <color theme="1"/>
      <name val="HP Simplified"/>
      <family val="2"/>
    </font>
    <font>
      <sz val="16"/>
      <color theme="1"/>
      <name val="HP Simplified"/>
      <family val="2"/>
    </font>
    <font>
      <sz val="14"/>
      <color theme="5" tint="-0.249977111117893"/>
      <name val="HP Simplified"/>
      <family val="2"/>
    </font>
    <font>
      <b/>
      <sz val="12"/>
      <name val="HP Simplified"/>
      <family val="2"/>
    </font>
    <font>
      <sz val="12"/>
      <name val="HP Simplified"/>
      <family val="2"/>
    </font>
    <font>
      <sz val="11"/>
      <color theme="5" tint="-0.249977111117893"/>
      <name val="HP Simplified"/>
      <family val="2"/>
    </font>
    <font>
      <b/>
      <sz val="12"/>
      <color theme="1"/>
      <name val="HP Simplified"/>
      <family val="2"/>
    </font>
    <font>
      <sz val="14"/>
      <name val="HP Simplified"/>
      <family val="2"/>
    </font>
    <font>
      <b/>
      <sz val="14"/>
      <name val="HP Simplified"/>
      <family val="2"/>
    </font>
    <font>
      <b/>
      <sz val="11"/>
      <color theme="5" tint="-0.249977111117893"/>
      <name val="HP Simplified"/>
      <family val="2"/>
    </font>
    <font>
      <sz val="11"/>
      <color theme="5" tint="-0.249977111117893"/>
      <name val="Bookman Old Style"/>
      <family val="1"/>
    </font>
    <font>
      <b/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HP Simplified"/>
      <family val="2"/>
    </font>
    <font>
      <b/>
      <sz val="10"/>
      <color indexed="81"/>
      <name val="Tahoma"/>
      <family val="2"/>
    </font>
    <font>
      <sz val="12"/>
      <color theme="9" tint="-0.249977111117893"/>
      <name val="HP Simplified"/>
      <family val="2"/>
    </font>
    <font>
      <b/>
      <sz val="16"/>
      <name val="HP Simplified"/>
      <family val="2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color theme="5" tint="-0.249977111117893"/>
      <name val="Book Antiqua"/>
      <family val="1"/>
    </font>
    <font>
      <sz val="12"/>
      <name val="Book Antiqua"/>
      <family val="1"/>
    </font>
    <font>
      <i/>
      <sz val="12"/>
      <color theme="5"/>
      <name val="Book Antiqua"/>
      <family val="1"/>
    </font>
    <font>
      <i/>
      <sz val="12"/>
      <color theme="5" tint="-0.249977111117893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2"/>
      <color rgb="FFFF0000"/>
      <name val="Book Antiqua"/>
      <family val="1"/>
    </font>
    <font>
      <i/>
      <sz val="12"/>
      <color theme="1"/>
      <name val="Book Antiqua"/>
      <family val="1"/>
    </font>
    <font>
      <i/>
      <sz val="12"/>
      <name val="Book Antiqua"/>
      <family val="1"/>
    </font>
    <font>
      <i/>
      <sz val="12"/>
      <color indexed="8"/>
      <name val="Book Antiqua"/>
      <family val="1"/>
    </font>
    <font>
      <b/>
      <i/>
      <sz val="12"/>
      <color indexed="8"/>
      <name val="Book Antiqua"/>
      <family val="1"/>
    </font>
    <font>
      <sz val="14"/>
      <name val="Book Antiqua"/>
      <family val="1"/>
    </font>
    <font>
      <b/>
      <sz val="12"/>
      <color theme="5" tint="-0.249977111117893"/>
      <name val="Book Antiqua"/>
      <family val="1"/>
    </font>
    <font>
      <sz val="11"/>
      <name val="Book Antiqua"/>
      <family val="1"/>
    </font>
    <font>
      <sz val="10"/>
      <color theme="1"/>
      <name val="Book Antiqua"/>
      <family val="1"/>
    </font>
    <font>
      <b/>
      <sz val="12"/>
      <color theme="9" tint="-0.249977111117893"/>
      <name val="Book Antiqua"/>
      <family val="1"/>
    </font>
    <font>
      <sz val="12"/>
      <color theme="9" tint="-0.249977111117893"/>
      <name val="Book Antiqua"/>
      <family val="1"/>
    </font>
    <font>
      <sz val="11"/>
      <color theme="9" tint="-0.249977111117893"/>
      <name val="Book Antiqua"/>
      <family val="1"/>
    </font>
    <font>
      <b/>
      <sz val="10"/>
      <color theme="9" tint="-0.249977111117893"/>
      <name val="Book Antiqua"/>
      <family val="1"/>
    </font>
    <font>
      <b/>
      <sz val="11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4"/>
      <name val="Book Antiqua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11"/>
      <name val="Tahoma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/>
    <xf numFmtId="43" fontId="5" fillId="0" borderId="0" applyFont="0" applyFill="0" applyBorder="0" applyAlignment="0" applyProtection="0"/>
    <xf numFmtId="0" fontId="8" fillId="0" borderId="1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4" applyNumberFormat="0" applyBorder="0" applyAlignment="0" applyProtection="0"/>
    <xf numFmtId="37" fontId="11" fillId="0" borderId="0"/>
    <xf numFmtId="164" fontId="12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>
      <alignment vertical="center"/>
    </xf>
    <xf numFmtId="165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>
      <alignment vertical="center"/>
    </xf>
    <xf numFmtId="43" fontId="1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5" fillId="0" borderId="0"/>
    <xf numFmtId="0" fontId="69" fillId="0" borderId="0"/>
    <xf numFmtId="0" fontId="5" fillId="0" borderId="0"/>
  </cellStyleXfs>
  <cellXfs count="1226">
    <xf numFmtId="0" fontId="0" fillId="0" borderId="0" xfId="0"/>
    <xf numFmtId="43" fontId="14" fillId="0" borderId="7" xfId="30" applyNumberFormat="1" applyFont="1" applyFill="1" applyBorder="1"/>
    <xf numFmtId="43" fontId="6" fillId="0" borderId="7" xfId="30" applyNumberFormat="1" applyFont="1" applyFill="1" applyBorder="1" applyAlignment="1">
      <alignment horizontal="left" indent="2"/>
    </xf>
    <xf numFmtId="0" fontId="0" fillId="0" borderId="7" xfId="0" applyFill="1" applyBorder="1"/>
    <xf numFmtId="43" fontId="6" fillId="0" borderId="7" xfId="30" applyNumberFormat="1" applyFont="1" applyFill="1" applyBorder="1"/>
    <xf numFmtId="169" fontId="0" fillId="0" borderId="0" xfId="0" applyNumberFormat="1" applyFill="1"/>
    <xf numFmtId="169" fontId="0" fillId="0" borderId="7" xfId="31" applyFont="1" applyFill="1" applyBorder="1"/>
    <xf numFmtId="0" fontId="0" fillId="0" borderId="0" xfId="0" applyFill="1"/>
    <xf numFmtId="43" fontId="14" fillId="0" borderId="37" xfId="30" applyNumberFormat="1" applyFont="1" applyFill="1" applyBorder="1"/>
    <xf numFmtId="43" fontId="14" fillId="0" borderId="7" xfId="30" applyNumberFormat="1" applyFont="1" applyFill="1" applyBorder="1" applyAlignment="1">
      <alignment horizontal="left" indent="2"/>
    </xf>
    <xf numFmtId="169" fontId="0" fillId="0" borderId="7" xfId="0" applyNumberFormat="1" applyFill="1" applyBorder="1"/>
    <xf numFmtId="43" fontId="6" fillId="0" borderId="18" xfId="30" applyNumberFormat="1" applyFont="1" applyFill="1" applyBorder="1" applyAlignment="1">
      <alignment horizontal="left" indent="2"/>
    </xf>
    <xf numFmtId="0" fontId="0" fillId="0" borderId="21" xfId="0" applyFill="1" applyBorder="1"/>
    <xf numFmtId="0" fontId="0" fillId="0" borderId="18" xfId="0" applyFill="1" applyBorder="1"/>
    <xf numFmtId="43" fontId="13" fillId="0" borderId="0" xfId="30" applyNumberFormat="1" applyFont="1" applyFill="1" applyBorder="1" applyAlignment="1"/>
    <xf numFmtId="169" fontId="13" fillId="0" borderId="0" xfId="31" applyFont="1" applyFill="1" applyBorder="1" applyAlignment="1"/>
    <xf numFmtId="43" fontId="6" fillId="0" borderId="0" xfId="30" applyNumberFormat="1" applyFont="1" applyFill="1" applyBorder="1" applyAlignment="1"/>
    <xf numFmtId="169" fontId="6" fillId="0" borderId="0" xfId="31" applyFont="1" applyFill="1" applyBorder="1" applyAlignment="1"/>
    <xf numFmtId="0" fontId="16" fillId="0" borderId="0" xfId="0" applyFont="1" applyFill="1" applyAlignment="1"/>
    <xf numFmtId="169" fontId="16" fillId="0" borderId="0" xfId="31" applyFont="1" applyFill="1" applyAlignment="1"/>
    <xf numFmtId="169" fontId="0" fillId="0" borderId="0" xfId="31" applyFont="1" applyFill="1"/>
    <xf numFmtId="0" fontId="17" fillId="0" borderId="11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7" borderId="0" xfId="0" applyFill="1"/>
    <xf numFmtId="0" fontId="2" fillId="0" borderId="0" xfId="0" applyFont="1"/>
    <xf numFmtId="0" fontId="2" fillId="7" borderId="0" xfId="0" applyFont="1" applyFill="1"/>
    <xf numFmtId="0" fontId="2" fillId="0" borderId="33" xfId="0" applyFont="1" applyBorder="1"/>
    <xf numFmtId="0" fontId="2" fillId="0" borderId="0" xfId="0" applyFont="1" applyBorder="1"/>
    <xf numFmtId="0" fontId="2" fillId="0" borderId="34" xfId="0" applyFont="1" applyBorder="1"/>
    <xf numFmtId="0" fontId="2" fillId="0" borderId="33" xfId="0" applyFont="1" applyBorder="1" applyAlignment="1">
      <alignment horizontal="center"/>
    </xf>
    <xf numFmtId="0" fontId="2" fillId="0" borderId="0" xfId="0" applyFont="1" applyFill="1" applyBorder="1"/>
    <xf numFmtId="0" fontId="2" fillId="0" borderId="34" xfId="0" applyFont="1" applyFill="1" applyBorder="1"/>
    <xf numFmtId="0" fontId="18" fillId="7" borderId="25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0" fontId="18" fillId="7" borderId="2" xfId="0" applyFont="1" applyFill="1" applyBorder="1"/>
    <xf numFmtId="0" fontId="18" fillId="7" borderId="26" xfId="0" applyFont="1" applyFill="1" applyBorder="1"/>
    <xf numFmtId="0" fontId="0" fillId="0" borderId="4" xfId="0" applyBorder="1"/>
    <xf numFmtId="2" fontId="2" fillId="0" borderId="0" xfId="0" applyNumberFormat="1" applyFont="1" applyBorder="1"/>
    <xf numFmtId="0" fontId="2" fillId="0" borderId="38" xfId="0" applyFont="1" applyBorder="1"/>
    <xf numFmtId="0" fontId="2" fillId="0" borderId="39" xfId="0" applyFont="1" applyBorder="1"/>
    <xf numFmtId="2" fontId="2" fillId="0" borderId="39" xfId="0" applyNumberFormat="1" applyFont="1" applyBorder="1"/>
    <xf numFmtId="0" fontId="2" fillId="0" borderId="40" xfId="0" applyFont="1" applyBorder="1"/>
    <xf numFmtId="0" fontId="2" fillId="7" borderId="2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23" fillId="10" borderId="0" xfId="0" applyFont="1" applyFill="1" applyBorder="1" applyAlignment="1">
      <alignment horizontal="center" vertical="center" textRotation="90" wrapText="1"/>
    </xf>
    <xf numFmtId="0" fontId="2" fillId="0" borderId="35" xfId="0" applyFont="1" applyBorder="1"/>
    <xf numFmtId="0" fontId="2" fillId="0" borderId="22" xfId="0" applyFont="1" applyBorder="1"/>
    <xf numFmtId="0" fontId="2" fillId="0" borderId="36" xfId="0" applyFont="1" applyBorder="1"/>
    <xf numFmtId="1" fontId="2" fillId="0" borderId="0" xfId="0" applyNumberFormat="1" applyFont="1" applyBorder="1"/>
    <xf numFmtId="1" fontId="2" fillId="0" borderId="0" xfId="0" applyNumberFormat="1" applyFont="1"/>
    <xf numFmtId="0" fontId="24" fillId="0" borderId="25" xfId="0" applyFont="1" applyBorder="1" applyAlignment="1">
      <alignment horizontal="center"/>
    </xf>
    <xf numFmtId="1" fontId="24" fillId="0" borderId="26" xfId="0" applyNumberFormat="1" applyFont="1" applyBorder="1" applyAlignment="1">
      <alignment horizontal="center"/>
    </xf>
    <xf numFmtId="43" fontId="0" fillId="0" borderId="0" xfId="0" applyNumberFormat="1"/>
    <xf numFmtId="0" fontId="21" fillId="7" borderId="0" xfId="0" applyFont="1" applyFill="1"/>
    <xf numFmtId="0" fontId="21" fillId="0" borderId="0" xfId="0" applyFont="1"/>
    <xf numFmtId="2" fontId="24" fillId="0" borderId="26" xfId="0" applyNumberFormat="1" applyFont="1" applyBorder="1" applyAlignment="1">
      <alignment horizontal="center"/>
    </xf>
    <xf numFmtId="0" fontId="0" fillId="0" borderId="0" xfId="0" applyFont="1"/>
    <xf numFmtId="0" fontId="31" fillId="10" borderId="4" xfId="0" applyFont="1" applyFill="1" applyBorder="1" applyAlignment="1">
      <alignment horizontal="center"/>
    </xf>
    <xf numFmtId="0" fontId="31" fillId="10" borderId="6" xfId="0" applyFont="1" applyFill="1" applyBorder="1" applyAlignment="1">
      <alignment horizontal="center"/>
    </xf>
    <xf numFmtId="0" fontId="31" fillId="10" borderId="15" xfId="0" applyFont="1" applyFill="1" applyBorder="1" applyAlignment="1">
      <alignment horizontal="center"/>
    </xf>
    <xf numFmtId="0" fontId="31" fillId="10" borderId="13" xfId="0" applyFont="1" applyFill="1" applyBorder="1" applyAlignment="1">
      <alignment horizontal="center"/>
    </xf>
    <xf numFmtId="0" fontId="27" fillId="5" borderId="16" xfId="0" applyFont="1" applyFill="1" applyBorder="1" applyAlignment="1">
      <alignment horizontal="center"/>
    </xf>
    <xf numFmtId="0" fontId="27" fillId="0" borderId="9" xfId="0" applyFont="1" applyBorder="1"/>
    <xf numFmtId="0" fontId="27" fillId="5" borderId="9" xfId="0" applyFont="1" applyFill="1" applyBorder="1"/>
    <xf numFmtId="1" fontId="27" fillId="5" borderId="9" xfId="0" applyNumberFormat="1" applyFont="1" applyFill="1" applyBorder="1"/>
    <xf numFmtId="1" fontId="27" fillId="5" borderId="12" xfId="0" applyNumberFormat="1" applyFont="1" applyFill="1" applyBorder="1"/>
    <xf numFmtId="0" fontId="27" fillId="5" borderId="8" xfId="0" applyFont="1" applyFill="1" applyBorder="1" applyAlignment="1">
      <alignment horizontal="center"/>
    </xf>
    <xf numFmtId="0" fontId="27" fillId="0" borderId="4" xfId="12" applyFont="1" applyBorder="1"/>
    <xf numFmtId="0" fontId="27" fillId="5" borderId="4" xfId="0" applyFont="1" applyFill="1" applyBorder="1"/>
    <xf numFmtId="1" fontId="27" fillId="5" borderId="4" xfId="0" applyNumberFormat="1" applyFont="1" applyFill="1" applyBorder="1"/>
    <xf numFmtId="1" fontId="27" fillId="5" borderId="6" xfId="0" applyNumberFormat="1" applyFont="1" applyFill="1" applyBorder="1"/>
    <xf numFmtId="0" fontId="27" fillId="0" borderId="4" xfId="0" applyFont="1" applyBorder="1" applyAlignment="1">
      <alignment horizontal="left"/>
    </xf>
    <xf numFmtId="1" fontId="27" fillId="5" borderId="4" xfId="29" applyNumberFormat="1" applyFont="1" applyFill="1" applyBorder="1"/>
    <xf numFmtId="0" fontId="27" fillId="5" borderId="15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left"/>
    </xf>
    <xf numFmtId="0" fontId="31" fillId="5" borderId="13" xfId="0" applyFont="1" applyFill="1" applyBorder="1"/>
    <xf numFmtId="1" fontId="31" fillId="5" borderId="13" xfId="29" applyNumberFormat="1" applyFont="1" applyFill="1" applyBorder="1"/>
    <xf numFmtId="1" fontId="31" fillId="5" borderId="14" xfId="29" applyNumberFormat="1" applyFont="1" applyFill="1" applyBorder="1"/>
    <xf numFmtId="0" fontId="27" fillId="5" borderId="44" xfId="0" applyFont="1" applyFill="1" applyBorder="1" applyAlignment="1">
      <alignment horizontal="center"/>
    </xf>
    <xf numFmtId="0" fontId="31" fillId="5" borderId="23" xfId="0" applyFont="1" applyFill="1" applyBorder="1" applyAlignment="1">
      <alignment horizontal="left"/>
    </xf>
    <xf numFmtId="0" fontId="31" fillId="5" borderId="23" xfId="0" applyFont="1" applyFill="1" applyBorder="1"/>
    <xf numFmtId="1" fontId="31" fillId="5" borderId="23" xfId="29" applyNumberFormat="1" applyFont="1" applyFill="1" applyBorder="1"/>
    <xf numFmtId="1" fontId="31" fillId="5" borderId="24" xfId="29" applyNumberFormat="1" applyFont="1" applyFill="1" applyBorder="1"/>
    <xf numFmtId="0" fontId="31" fillId="10" borderId="8" xfId="0" applyFont="1" applyFill="1" applyBorder="1" applyAlignment="1">
      <alignment horizontal="center"/>
    </xf>
    <xf numFmtId="0" fontId="27" fillId="0" borderId="4" xfId="0" applyFont="1" applyBorder="1"/>
    <xf numFmtId="0" fontId="32" fillId="5" borderId="4" xfId="0" applyFont="1" applyFill="1" applyBorder="1"/>
    <xf numFmtId="1" fontId="27" fillId="5" borderId="6" xfId="29" applyNumberFormat="1" applyFont="1" applyFill="1" applyBorder="1"/>
    <xf numFmtId="0" fontId="27" fillId="10" borderId="15" xfId="0" applyFont="1" applyFill="1" applyBorder="1" applyAlignment="1">
      <alignment horizontal="center"/>
    </xf>
    <xf numFmtId="0" fontId="31" fillId="10" borderId="13" xfId="0" applyFont="1" applyFill="1" applyBorder="1" applyAlignment="1">
      <alignment horizontal="left"/>
    </xf>
    <xf numFmtId="0" fontId="31" fillId="10" borderId="13" xfId="0" applyFont="1" applyFill="1" applyBorder="1"/>
    <xf numFmtId="1" fontId="31" fillId="10" borderId="13" xfId="29" applyNumberFormat="1" applyFont="1" applyFill="1" applyBorder="1"/>
    <xf numFmtId="1" fontId="31" fillId="10" borderId="13" xfId="0" applyNumberFormat="1" applyFont="1" applyFill="1" applyBorder="1"/>
    <xf numFmtId="0" fontId="32" fillId="10" borderId="13" xfId="0" applyFont="1" applyFill="1" applyBorder="1"/>
    <xf numFmtId="1" fontId="31" fillId="10" borderId="14" xfId="29" applyNumberFormat="1" applyFont="1" applyFill="1" applyBorder="1"/>
    <xf numFmtId="0" fontId="0" fillId="7" borderId="0" xfId="0" applyFont="1" applyFill="1"/>
    <xf numFmtId="0" fontId="33" fillId="7" borderId="0" xfId="0" applyFont="1" applyFill="1"/>
    <xf numFmtId="0" fontId="22" fillId="7" borderId="35" xfId="12" applyFont="1" applyFill="1" applyBorder="1"/>
    <xf numFmtId="0" fontId="22" fillId="7" borderId="22" xfId="12" applyFont="1" applyFill="1" applyBorder="1"/>
    <xf numFmtId="0" fontId="22" fillId="7" borderId="33" xfId="12" applyFont="1" applyFill="1" applyBorder="1"/>
    <xf numFmtId="0" fontId="22" fillId="7" borderId="38" xfId="12" applyFont="1" applyFill="1" applyBorder="1"/>
    <xf numFmtId="0" fontId="22" fillId="7" borderId="39" xfId="12" applyFont="1" applyFill="1" applyBorder="1"/>
    <xf numFmtId="0" fontId="0" fillId="7" borderId="22" xfId="0" applyFill="1" applyBorder="1"/>
    <xf numFmtId="0" fontId="0" fillId="7" borderId="36" xfId="0" applyFill="1" applyBorder="1"/>
    <xf numFmtId="0" fontId="22" fillId="7" borderId="0" xfId="12" applyFont="1" applyFill="1" applyBorder="1"/>
    <xf numFmtId="0" fontId="0" fillId="7" borderId="0" xfId="0" applyFill="1" applyBorder="1"/>
    <xf numFmtId="0" fontId="0" fillId="7" borderId="34" xfId="0" applyFill="1" applyBorder="1"/>
    <xf numFmtId="0" fontId="0" fillId="7" borderId="39" xfId="0" applyFill="1" applyBorder="1"/>
    <xf numFmtId="0" fontId="0" fillId="7" borderId="40" xfId="0" applyFill="1" applyBorder="1"/>
    <xf numFmtId="9" fontId="0" fillId="0" borderId="4" xfId="0" applyNumberFormat="1" applyBorder="1"/>
    <xf numFmtId="0" fontId="0" fillId="0" borderId="8" xfId="0" applyBorder="1"/>
    <xf numFmtId="0" fontId="0" fillId="0" borderId="6" xfId="0" applyBorder="1"/>
    <xf numFmtId="9" fontId="0" fillId="0" borderId="6" xfId="0" applyNumberFormat="1" applyBorder="1"/>
    <xf numFmtId="0" fontId="16" fillId="10" borderId="15" xfId="0" applyFont="1" applyFill="1" applyBorder="1"/>
    <xf numFmtId="0" fontId="16" fillId="10" borderId="13" xfId="0" applyFont="1" applyFill="1" applyBorder="1"/>
    <xf numFmtId="0" fontId="16" fillId="10" borderId="14" xfId="0" applyFont="1" applyFill="1" applyBorder="1"/>
    <xf numFmtId="0" fontId="16" fillId="10" borderId="8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38" fillId="10" borderId="17" xfId="0" applyFont="1" applyFill="1" applyBorder="1" applyAlignment="1">
      <alignment vertical="center" wrapText="1"/>
    </xf>
    <xf numFmtId="0" fontId="38" fillId="10" borderId="18" xfId="0" applyFont="1" applyFill="1" applyBorder="1" applyAlignment="1">
      <alignment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19" xfId="0" applyFont="1" applyFill="1" applyBorder="1" applyAlignment="1">
      <alignment vertical="center"/>
    </xf>
    <xf numFmtId="0" fontId="38" fillId="10" borderId="8" xfId="0" applyFont="1" applyFill="1" applyBorder="1" applyAlignment="1">
      <alignment vertical="center" wrapText="1"/>
    </xf>
    <xf numFmtId="0" fontId="38" fillId="10" borderId="4" xfId="0" applyFont="1" applyFill="1" applyBorder="1" applyAlignment="1">
      <alignment vertical="center"/>
    </xf>
    <xf numFmtId="0" fontId="38" fillId="10" borderId="4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left" vertical="center"/>
    </xf>
    <xf numFmtId="2" fontId="40" fillId="0" borderId="4" xfId="0" applyNumberFormat="1" applyFont="1" applyFill="1" applyBorder="1" applyAlignment="1">
      <alignment vertical="center"/>
    </xf>
    <xf numFmtId="10" fontId="40" fillId="0" borderId="6" xfId="33" applyNumberFormat="1" applyFont="1" applyFill="1" applyBorder="1" applyAlignment="1">
      <alignment vertical="center"/>
    </xf>
    <xf numFmtId="0" fontId="40" fillId="10" borderId="8" xfId="0" applyFont="1" applyFill="1" applyBorder="1" applyAlignment="1">
      <alignment horizontal="center" vertical="center"/>
    </xf>
    <xf numFmtId="0" fontId="38" fillId="10" borderId="4" xfId="0" applyFont="1" applyFill="1" applyBorder="1"/>
    <xf numFmtId="2" fontId="38" fillId="10" borderId="4" xfId="0" applyNumberFormat="1" applyFont="1" applyFill="1" applyBorder="1" applyAlignment="1">
      <alignment horizontal="right"/>
    </xf>
    <xf numFmtId="2" fontId="38" fillId="10" borderId="4" xfId="0" applyNumberFormat="1" applyFont="1" applyFill="1" applyBorder="1" applyAlignment="1">
      <alignment horizontal="right" vertical="center"/>
    </xf>
    <xf numFmtId="2" fontId="38" fillId="10" borderId="6" xfId="0" applyNumberFormat="1" applyFont="1" applyFill="1" applyBorder="1" applyAlignment="1">
      <alignment horizontal="center" vertical="center"/>
    </xf>
    <xf numFmtId="0" fontId="40" fillId="5" borderId="4" xfId="0" applyFont="1" applyFill="1" applyBorder="1"/>
    <xf numFmtId="0" fontId="40" fillId="5" borderId="4" xfId="0" applyFont="1" applyFill="1" applyBorder="1" applyAlignment="1">
      <alignment horizontal="right"/>
    </xf>
    <xf numFmtId="0" fontId="40" fillId="5" borderId="4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horizontal="center" vertical="center"/>
    </xf>
    <xf numFmtId="0" fontId="40" fillId="10" borderId="15" xfId="0" applyFont="1" applyFill="1" applyBorder="1" applyAlignment="1">
      <alignment horizontal="center" vertical="center"/>
    </xf>
    <xf numFmtId="0" fontId="40" fillId="10" borderId="13" xfId="0" applyFont="1" applyFill="1" applyBorder="1"/>
    <xf numFmtId="2" fontId="38" fillId="10" borderId="13" xfId="0" applyNumberFormat="1" applyFont="1" applyFill="1" applyBorder="1" applyAlignment="1">
      <alignment horizontal="right"/>
    </xf>
    <xf numFmtId="2" fontId="38" fillId="10" borderId="13" xfId="0" applyNumberFormat="1" applyFont="1" applyFill="1" applyBorder="1" applyAlignment="1">
      <alignment horizontal="right" vertical="center"/>
    </xf>
    <xf numFmtId="2" fontId="38" fillId="10" borderId="14" xfId="0" applyNumberFormat="1" applyFont="1" applyFill="1" applyBorder="1" applyAlignment="1">
      <alignment horizontal="center" vertical="center"/>
    </xf>
    <xf numFmtId="0" fontId="0" fillId="6" borderId="0" xfId="0" applyFill="1"/>
    <xf numFmtId="0" fontId="28" fillId="6" borderId="0" xfId="0" applyFont="1" applyFill="1"/>
    <xf numFmtId="0" fontId="1" fillId="0" borderId="0" xfId="0" applyFont="1"/>
    <xf numFmtId="0" fontId="26" fillId="5" borderId="0" xfId="12" applyFont="1" applyFill="1" applyBorder="1"/>
    <xf numFmtId="1" fontId="1" fillId="0" borderId="0" xfId="0" applyNumberFormat="1" applyFont="1"/>
    <xf numFmtId="0" fontId="29" fillId="5" borderId="0" xfId="0" applyFont="1" applyFill="1" applyBorder="1"/>
    <xf numFmtId="0" fontId="29" fillId="5" borderId="4" xfId="0" applyFont="1" applyFill="1" applyBorder="1"/>
    <xf numFmtId="43" fontId="29" fillId="5" borderId="0" xfId="0" applyNumberFormat="1" applyFont="1" applyFill="1" applyBorder="1"/>
    <xf numFmtId="0" fontId="29" fillId="5" borderId="34" xfId="0" applyFont="1" applyFill="1" applyBorder="1" applyAlignment="1">
      <alignment horizontal="center"/>
    </xf>
    <xf numFmtId="0" fontId="30" fillId="0" borderId="4" xfId="0" applyFont="1" applyBorder="1"/>
    <xf numFmtId="43" fontId="29" fillId="5" borderId="4" xfId="29" applyFont="1" applyFill="1" applyBorder="1"/>
    <xf numFmtId="0" fontId="29" fillId="0" borderId="4" xfId="0" applyFont="1" applyBorder="1"/>
    <xf numFmtId="43" fontId="30" fillId="5" borderId="4" xfId="29" applyFont="1" applyFill="1" applyBorder="1"/>
    <xf numFmtId="0" fontId="29" fillId="0" borderId="4" xfId="0" applyFont="1" applyBorder="1" applyAlignment="1">
      <alignment wrapText="1"/>
    </xf>
    <xf numFmtId="0" fontId="30" fillId="14" borderId="4" xfId="0" applyFont="1" applyFill="1" applyBorder="1"/>
    <xf numFmtId="0" fontId="29" fillId="14" borderId="4" xfId="0" applyFont="1" applyFill="1" applyBorder="1"/>
    <xf numFmtId="43" fontId="29" fillId="14" borderId="4" xfId="29" applyFont="1" applyFill="1" applyBorder="1"/>
    <xf numFmtId="0" fontId="30" fillId="0" borderId="8" xfId="0" applyFont="1" applyBorder="1" applyAlignment="1">
      <alignment horizontal="center"/>
    </xf>
    <xf numFmtId="0" fontId="29" fillId="5" borderId="6" xfId="0" applyFont="1" applyFill="1" applyBorder="1"/>
    <xf numFmtId="0" fontId="29" fillId="0" borderId="8" xfId="0" applyFont="1" applyBorder="1" applyAlignment="1">
      <alignment horizontal="right"/>
    </xf>
    <xf numFmtId="0" fontId="29" fillId="0" borderId="8" xfId="0" applyFont="1" applyBorder="1" applyAlignment="1">
      <alignment horizontal="center"/>
    </xf>
    <xf numFmtId="0" fontId="30" fillId="14" borderId="8" xfId="0" applyFont="1" applyFill="1" applyBorder="1" applyAlignment="1">
      <alignment horizontal="center"/>
    </xf>
    <xf numFmtId="0" fontId="29" fillId="14" borderId="6" xfId="0" applyFont="1" applyFill="1" applyBorder="1"/>
    <xf numFmtId="0" fontId="30" fillId="14" borderId="15" xfId="0" applyFont="1" applyFill="1" applyBorder="1" applyAlignment="1">
      <alignment horizontal="center"/>
    </xf>
    <xf numFmtId="0" fontId="30" fillId="14" borderId="13" xfId="0" applyFont="1" applyFill="1" applyBorder="1"/>
    <xf numFmtId="0" fontId="29" fillId="14" borderId="13" xfId="0" applyFont="1" applyFill="1" applyBorder="1"/>
    <xf numFmtId="43" fontId="29" fillId="14" borderId="13" xfId="29" applyFont="1" applyFill="1" applyBorder="1"/>
    <xf numFmtId="0" fontId="29" fillId="14" borderId="14" xfId="0" applyFont="1" applyFill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0" fontId="29" fillId="5" borderId="18" xfId="0" applyFont="1" applyFill="1" applyBorder="1"/>
    <xf numFmtId="43" fontId="29" fillId="5" borderId="18" xfId="29" applyFont="1" applyFill="1" applyBorder="1"/>
    <xf numFmtId="0" fontId="29" fillId="5" borderId="19" xfId="0" applyFont="1" applyFill="1" applyBorder="1"/>
    <xf numFmtId="0" fontId="25" fillId="14" borderId="16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/>
    </xf>
    <xf numFmtId="0" fontId="25" fillId="14" borderId="15" xfId="0" applyFont="1" applyFill="1" applyBorder="1" applyAlignment="1">
      <alignment horizontal="center" vertical="center"/>
    </xf>
    <xf numFmtId="0" fontId="25" fillId="14" borderId="13" xfId="0" applyFont="1" applyFill="1" applyBorder="1" applyAlignment="1">
      <alignment horizontal="center" vertical="center"/>
    </xf>
    <xf numFmtId="0" fontId="25" fillId="14" borderId="14" xfId="0" applyFont="1" applyFill="1" applyBorder="1" applyAlignment="1">
      <alignment horizontal="center" vertical="center"/>
    </xf>
    <xf numFmtId="0" fontId="26" fillId="5" borderId="0" xfId="12" applyFont="1" applyFill="1" applyBorder="1" applyAlignment="1">
      <alignment vertical="top"/>
    </xf>
    <xf numFmtId="0" fontId="25" fillId="5" borderId="0" xfId="0" applyFont="1" applyFill="1" applyBorder="1" applyAlignment="1">
      <alignment vertical="center"/>
    </xf>
    <xf numFmtId="0" fontId="26" fillId="5" borderId="0" xfId="12" applyFont="1" applyFill="1" applyBorder="1" applyAlignment="1"/>
    <xf numFmtId="0" fontId="25" fillId="5" borderId="0" xfId="12" applyFont="1" applyFill="1" applyBorder="1"/>
    <xf numFmtId="168" fontId="26" fillId="5" borderId="0" xfId="12" applyNumberFormat="1" applyFont="1" applyFill="1"/>
    <xf numFmtId="43" fontId="26" fillId="5" borderId="0" xfId="12" applyNumberFormat="1" applyFont="1" applyFill="1"/>
    <xf numFmtId="0" fontId="26" fillId="5" borderId="0" xfId="12" applyFont="1" applyFill="1"/>
    <xf numFmtId="0" fontId="43" fillId="10" borderId="16" xfId="0" applyFont="1" applyFill="1" applyBorder="1" applyAlignment="1">
      <alignment horizontal="center" vertical="center" wrapText="1"/>
    </xf>
    <xf numFmtId="0" fontId="43" fillId="10" borderId="9" xfId="0" applyFont="1" applyFill="1" applyBorder="1" applyAlignment="1">
      <alignment horizontal="center" vertical="center"/>
    </xf>
    <xf numFmtId="0" fontId="43" fillId="10" borderId="9" xfId="0" applyFont="1" applyFill="1" applyBorder="1" applyAlignment="1">
      <alignment horizontal="center" textRotation="90" wrapText="1"/>
    </xf>
    <xf numFmtId="0" fontId="43" fillId="10" borderId="9" xfId="0" applyFont="1" applyFill="1" applyBorder="1" applyAlignment="1">
      <alignment horizontal="center" vertical="center" textRotation="90" wrapText="1"/>
    </xf>
    <xf numFmtId="0" fontId="43" fillId="10" borderId="12" xfId="0" applyFont="1" applyFill="1" applyBorder="1" applyAlignment="1">
      <alignment horizontal="center" vertical="center" textRotation="90" wrapText="1"/>
    </xf>
    <xf numFmtId="0" fontId="43" fillId="12" borderId="15" xfId="0" applyFont="1" applyFill="1" applyBorder="1" applyAlignment="1">
      <alignment horizontal="center" wrapText="1"/>
    </xf>
    <xf numFmtId="0" fontId="43" fillId="12" borderId="13" xfId="0" applyFont="1" applyFill="1" applyBorder="1" applyAlignment="1">
      <alignment horizontal="center" wrapText="1"/>
    </xf>
    <xf numFmtId="0" fontId="43" fillId="12" borderId="14" xfId="0" applyFont="1" applyFill="1" applyBorder="1" applyAlignment="1">
      <alignment horizontal="center" wrapText="1"/>
    </xf>
    <xf numFmtId="0" fontId="43" fillId="0" borderId="17" xfId="0" applyFont="1" applyBorder="1" applyAlignment="1">
      <alignment horizontal="center"/>
    </xf>
    <xf numFmtId="0" fontId="43" fillId="0" borderId="18" xfId="0" applyFont="1" applyBorder="1"/>
    <xf numFmtId="1" fontId="43" fillId="0" borderId="18" xfId="0" applyNumberFormat="1" applyFont="1" applyBorder="1"/>
    <xf numFmtId="10" fontId="43" fillId="0" borderId="18" xfId="33" applyNumberFormat="1" applyFont="1" applyBorder="1"/>
    <xf numFmtId="2" fontId="43" fillId="0" borderId="18" xfId="0" applyNumberFormat="1" applyFont="1" applyBorder="1" applyAlignment="1">
      <alignment horizontal="right"/>
    </xf>
    <xf numFmtId="2" fontId="43" fillId="0" borderId="18" xfId="0" applyNumberFormat="1" applyFont="1" applyBorder="1"/>
    <xf numFmtId="2" fontId="43" fillId="0" borderId="19" xfId="0" applyNumberFormat="1" applyFont="1" applyBorder="1"/>
    <xf numFmtId="0" fontId="43" fillId="0" borderId="8" xfId="0" applyFont="1" applyBorder="1" applyAlignment="1">
      <alignment horizontal="center"/>
    </xf>
    <xf numFmtId="0" fontId="43" fillId="0" borderId="4" xfId="0" applyFont="1" applyBorder="1"/>
    <xf numFmtId="1" fontId="43" fillId="0" borderId="4" xfId="0" applyNumberFormat="1" applyFont="1" applyBorder="1"/>
    <xf numFmtId="10" fontId="43" fillId="0" borderId="4" xfId="33" applyNumberFormat="1" applyFont="1" applyBorder="1"/>
    <xf numFmtId="2" fontId="43" fillId="0" borderId="4" xfId="0" applyNumberFormat="1" applyFont="1" applyBorder="1" applyAlignment="1">
      <alignment horizontal="right"/>
    </xf>
    <xf numFmtId="2" fontId="43" fillId="0" borderId="4" xfId="0" applyNumberFormat="1" applyFont="1" applyBorder="1"/>
    <xf numFmtId="2" fontId="43" fillId="0" borderId="6" xfId="0" applyNumberFormat="1" applyFont="1" applyBorder="1"/>
    <xf numFmtId="10" fontId="43" fillId="0" borderId="4" xfId="33" applyNumberFormat="1" applyFont="1" applyFill="1" applyBorder="1"/>
    <xf numFmtId="0" fontId="43" fillId="0" borderId="44" xfId="0" applyFont="1" applyBorder="1" applyAlignment="1">
      <alignment horizontal="center"/>
    </xf>
    <xf numFmtId="0" fontId="43" fillId="0" borderId="23" xfId="0" applyFont="1" applyBorder="1"/>
    <xf numFmtId="1" fontId="43" fillId="0" borderId="23" xfId="0" applyNumberFormat="1" applyFont="1" applyBorder="1"/>
    <xf numFmtId="10" fontId="43" fillId="0" borderId="23" xfId="33" applyNumberFormat="1" applyFont="1" applyBorder="1"/>
    <xf numFmtId="2" fontId="43" fillId="0" borderId="23" xfId="0" applyNumberFormat="1" applyFont="1" applyBorder="1" applyAlignment="1">
      <alignment horizontal="right"/>
    </xf>
    <xf numFmtId="2" fontId="43" fillId="0" borderId="23" xfId="0" applyNumberFormat="1" applyFont="1" applyBorder="1"/>
    <xf numFmtId="2" fontId="43" fillId="0" borderId="24" xfId="0" applyNumberFormat="1" applyFont="1" applyBorder="1"/>
    <xf numFmtId="0" fontId="43" fillId="10" borderId="41" xfId="0" applyFont="1" applyFill="1" applyBorder="1" applyAlignment="1">
      <alignment horizontal="center"/>
    </xf>
    <xf numFmtId="0" fontId="43" fillId="10" borderId="42" xfId="0" applyFont="1" applyFill="1" applyBorder="1"/>
    <xf numFmtId="10" fontId="43" fillId="10" borderId="42" xfId="33" applyNumberFormat="1" applyFont="1" applyFill="1" applyBorder="1"/>
    <xf numFmtId="1" fontId="43" fillId="10" borderId="42" xfId="0" applyNumberFormat="1" applyFont="1" applyFill="1" applyBorder="1" applyAlignment="1">
      <alignment horizontal="center"/>
    </xf>
    <xf numFmtId="1" fontId="43" fillId="10" borderId="42" xfId="0" applyNumberFormat="1" applyFont="1" applyFill="1" applyBorder="1"/>
    <xf numFmtId="2" fontId="43" fillId="10" borderId="42" xfId="0" applyNumberFormat="1" applyFont="1" applyFill="1" applyBorder="1"/>
    <xf numFmtId="2" fontId="43" fillId="10" borderId="43" xfId="0" applyNumberFormat="1" applyFont="1" applyFill="1" applyBorder="1"/>
    <xf numFmtId="0" fontId="43" fillId="10" borderId="16" xfId="0" applyFont="1" applyFill="1" applyBorder="1" applyAlignment="1">
      <alignment horizontal="center"/>
    </xf>
    <xf numFmtId="0" fontId="43" fillId="10" borderId="9" xfId="0" applyFont="1" applyFill="1" applyBorder="1"/>
    <xf numFmtId="1" fontId="43" fillId="10" borderId="9" xfId="0" applyNumberFormat="1" applyFont="1" applyFill="1" applyBorder="1"/>
    <xf numFmtId="10" fontId="43" fillId="10" borderId="9" xfId="33" applyNumberFormat="1" applyFont="1" applyFill="1" applyBorder="1"/>
    <xf numFmtId="2" fontId="43" fillId="10" borderId="9" xfId="0" applyNumberFormat="1" applyFont="1" applyFill="1" applyBorder="1"/>
    <xf numFmtId="2" fontId="43" fillId="10" borderId="12" xfId="0" applyNumberFormat="1" applyFont="1" applyFill="1" applyBorder="1"/>
    <xf numFmtId="0" fontId="43" fillId="12" borderId="15" xfId="0" applyFont="1" applyFill="1" applyBorder="1" applyAlignment="1">
      <alignment horizontal="center"/>
    </xf>
    <xf numFmtId="0" fontId="43" fillId="12" borderId="13" xfId="0" applyFont="1" applyFill="1" applyBorder="1"/>
    <xf numFmtId="2" fontId="43" fillId="12" borderId="14" xfId="0" applyNumberFormat="1" applyFont="1" applyFill="1" applyBorder="1"/>
    <xf numFmtId="43" fontId="43" fillId="0" borderId="18" xfId="29" applyFont="1" applyBorder="1"/>
    <xf numFmtId="43" fontId="43" fillId="0" borderId="4" xfId="29" applyFont="1" applyBorder="1"/>
    <xf numFmtId="43" fontId="43" fillId="0" borderId="23" xfId="29" applyFont="1" applyBorder="1"/>
    <xf numFmtId="43" fontId="43" fillId="10" borderId="42" xfId="29" applyFont="1" applyFill="1" applyBorder="1"/>
    <xf numFmtId="43" fontId="43" fillId="10" borderId="9" xfId="29" applyFont="1" applyFill="1" applyBorder="1"/>
    <xf numFmtId="43" fontId="43" fillId="12" borderId="13" xfId="29" applyFont="1" applyFill="1" applyBorder="1"/>
    <xf numFmtId="167" fontId="43" fillId="0" borderId="18" xfId="29" applyNumberFormat="1" applyFont="1" applyBorder="1"/>
    <xf numFmtId="167" fontId="43" fillId="0" borderId="4" xfId="29" applyNumberFormat="1" applyFont="1" applyBorder="1"/>
    <xf numFmtId="167" fontId="43" fillId="0" borderId="23" xfId="29" applyNumberFormat="1" applyFont="1" applyBorder="1"/>
    <xf numFmtId="167" fontId="43" fillId="10" borderId="42" xfId="29" applyNumberFormat="1" applyFont="1" applyFill="1" applyBorder="1"/>
    <xf numFmtId="167" fontId="43" fillId="10" borderId="9" xfId="29" applyNumberFormat="1" applyFont="1" applyFill="1" applyBorder="1"/>
    <xf numFmtId="167" fontId="43" fillId="12" borderId="13" xfId="29" applyNumberFormat="1" applyFont="1" applyFill="1" applyBorder="1"/>
    <xf numFmtId="0" fontId="43" fillId="0" borderId="0" xfId="0" applyFont="1"/>
    <xf numFmtId="0" fontId="43" fillId="10" borderId="0" xfId="0" applyFont="1" applyFill="1" applyBorder="1" applyAlignment="1">
      <alignment horizontal="center" vertical="center" textRotation="90" wrapText="1"/>
    </xf>
    <xf numFmtId="0" fontId="43" fillId="0" borderId="0" xfId="0" applyFont="1" applyBorder="1"/>
    <xf numFmtId="1" fontId="43" fillId="0" borderId="0" xfId="0" applyNumberFormat="1" applyFont="1" applyBorder="1"/>
    <xf numFmtId="1" fontId="43" fillId="0" borderId="4" xfId="0" applyNumberFormat="1" applyFont="1" applyBorder="1" applyAlignment="1">
      <alignment horizontal="right"/>
    </xf>
    <xf numFmtId="0" fontId="44" fillId="0" borderId="25" xfId="0" applyFont="1" applyBorder="1" applyAlignment="1">
      <alignment horizontal="center"/>
    </xf>
    <xf numFmtId="1" fontId="44" fillId="0" borderId="26" xfId="0" applyNumberFormat="1" applyFont="1" applyBorder="1" applyAlignment="1">
      <alignment horizontal="center"/>
    </xf>
    <xf numFmtId="1" fontId="43" fillId="0" borderId="0" xfId="0" applyNumberFormat="1" applyFont="1"/>
    <xf numFmtId="43" fontId="43" fillId="0" borderId="19" xfId="29" applyFont="1" applyBorder="1"/>
    <xf numFmtId="43" fontId="43" fillId="0" borderId="6" xfId="29" applyFont="1" applyBorder="1"/>
    <xf numFmtId="43" fontId="43" fillId="0" borderId="24" xfId="29" applyFont="1" applyBorder="1"/>
    <xf numFmtId="43" fontId="43" fillId="10" borderId="43" xfId="29" applyFont="1" applyFill="1" applyBorder="1"/>
    <xf numFmtId="43" fontId="43" fillId="10" borderId="12" xfId="29" applyFont="1" applyFill="1" applyBorder="1"/>
    <xf numFmtId="43" fontId="43" fillId="12" borderId="14" xfId="29" applyFont="1" applyFill="1" applyBorder="1"/>
    <xf numFmtId="167" fontId="43" fillId="0" borderId="19" xfId="29" applyNumberFormat="1" applyFont="1" applyBorder="1"/>
    <xf numFmtId="167" fontId="43" fillId="0" borderId="6" xfId="29" applyNumberFormat="1" applyFont="1" applyBorder="1"/>
    <xf numFmtId="167" fontId="43" fillId="0" borderId="24" xfId="29" applyNumberFormat="1" applyFont="1" applyBorder="1"/>
    <xf numFmtId="167" fontId="43" fillId="10" borderId="43" xfId="29" applyNumberFormat="1" applyFont="1" applyFill="1" applyBorder="1"/>
    <xf numFmtId="167" fontId="43" fillId="10" borderId="12" xfId="29" applyNumberFormat="1" applyFont="1" applyFill="1" applyBorder="1"/>
    <xf numFmtId="167" fontId="43" fillId="12" borderId="14" xfId="29" applyNumberFormat="1" applyFont="1" applyFill="1" applyBorder="1"/>
    <xf numFmtId="0" fontId="42" fillId="6" borderId="9" xfId="18" applyFont="1" applyFill="1" applyBorder="1" applyAlignment="1">
      <alignment horizontal="center" vertical="center" wrapText="1"/>
    </xf>
    <xf numFmtId="0" fontId="42" fillId="6" borderId="12" xfId="18" applyFont="1" applyFill="1" applyBorder="1" applyAlignment="1">
      <alignment horizontal="center" vertical="center" wrapText="1"/>
    </xf>
    <xf numFmtId="0" fontId="42" fillId="6" borderId="4" xfId="18" applyFont="1" applyFill="1" applyBorder="1" applyAlignment="1">
      <alignment horizontal="center" vertical="center"/>
    </xf>
    <xf numFmtId="0" fontId="42" fillId="6" borderId="4" xfId="18" applyFont="1" applyFill="1" applyBorder="1" applyAlignment="1">
      <alignment horizontal="center" vertical="center" wrapText="1"/>
    </xf>
    <xf numFmtId="0" fontId="42" fillId="6" borderId="6" xfId="18" applyFont="1" applyFill="1" applyBorder="1" applyAlignment="1">
      <alignment horizontal="center" vertical="center"/>
    </xf>
    <xf numFmtId="0" fontId="13" fillId="6" borderId="15" xfId="21" applyFont="1" applyFill="1" applyBorder="1" applyAlignment="1">
      <alignment horizontal="center" vertical="center"/>
    </xf>
    <xf numFmtId="0" fontId="13" fillId="6" borderId="13" xfId="21" applyFont="1" applyFill="1" applyBorder="1" applyAlignment="1">
      <alignment horizontal="center" vertical="center"/>
    </xf>
    <xf numFmtId="0" fontId="42" fillId="6" borderId="13" xfId="18" applyFont="1" applyFill="1" applyBorder="1" applyAlignment="1">
      <alignment horizontal="center" vertical="center"/>
    </xf>
    <xf numFmtId="0" fontId="13" fillId="6" borderId="14" xfId="21" applyFont="1" applyFill="1" applyBorder="1" applyAlignment="1">
      <alignment horizontal="center" vertical="center"/>
    </xf>
    <xf numFmtId="0" fontId="45" fillId="5" borderId="16" xfId="21" applyFont="1" applyFill="1" applyBorder="1" applyAlignment="1">
      <alignment horizontal="center" vertical="center"/>
    </xf>
    <xf numFmtId="0" fontId="45" fillId="5" borderId="9" xfId="21" applyFont="1" applyFill="1" applyBorder="1">
      <alignment vertical="center"/>
    </xf>
    <xf numFmtId="0" fontId="45" fillId="5" borderId="9" xfId="21" applyFont="1" applyFill="1" applyBorder="1" applyAlignment="1">
      <alignment horizontal="center" vertical="center"/>
    </xf>
    <xf numFmtId="0" fontId="45" fillId="5" borderId="8" xfId="21" applyFont="1" applyFill="1" applyBorder="1" applyAlignment="1">
      <alignment horizontal="center" vertical="center"/>
    </xf>
    <xf numFmtId="0" fontId="45" fillId="5" borderId="4" xfId="21" applyFont="1" applyFill="1" applyBorder="1">
      <alignment vertical="center"/>
    </xf>
    <xf numFmtId="0" fontId="45" fillId="5" borderId="4" xfId="21" applyFont="1" applyFill="1" applyBorder="1" applyAlignment="1">
      <alignment horizontal="center" vertical="center"/>
    </xf>
    <xf numFmtId="0" fontId="46" fillId="5" borderId="8" xfId="21" applyFont="1" applyFill="1" applyBorder="1" applyAlignment="1">
      <alignment horizontal="right" vertical="center"/>
    </xf>
    <xf numFmtId="0" fontId="46" fillId="5" borderId="4" xfId="21" applyFont="1" applyFill="1" applyBorder="1" applyAlignment="1">
      <alignment horizontal="right" vertical="center"/>
    </xf>
    <xf numFmtId="0" fontId="46" fillId="5" borderId="4" xfId="21" applyFont="1" applyFill="1" applyBorder="1" applyAlignment="1">
      <alignment horizontal="center" vertical="center"/>
    </xf>
    <xf numFmtId="0" fontId="45" fillId="0" borderId="4" xfId="21" applyFont="1" applyBorder="1" applyAlignment="1">
      <alignment vertical="center" wrapText="1"/>
    </xf>
    <xf numFmtId="0" fontId="45" fillId="0" borderId="4" xfId="21" applyFont="1" applyBorder="1">
      <alignment vertical="center"/>
    </xf>
    <xf numFmtId="0" fontId="45" fillId="5" borderId="4" xfId="21" applyFont="1" applyFill="1" applyBorder="1" applyAlignment="1">
      <alignment vertical="center" wrapText="1"/>
    </xf>
    <xf numFmtId="0" fontId="45" fillId="5" borderId="44" xfId="21" applyFont="1" applyFill="1" applyBorder="1" applyAlignment="1">
      <alignment horizontal="center" vertical="center"/>
    </xf>
    <xf numFmtId="0" fontId="45" fillId="5" borderId="23" xfId="21" applyFont="1" applyFill="1" applyBorder="1" applyAlignment="1">
      <alignment vertical="center" wrapText="1"/>
    </xf>
    <xf numFmtId="0" fontId="45" fillId="5" borderId="23" xfId="21" applyFont="1" applyFill="1" applyBorder="1" applyAlignment="1">
      <alignment horizontal="center" vertical="center"/>
    </xf>
    <xf numFmtId="0" fontId="45" fillId="10" borderId="41" xfId="21" applyFont="1" applyFill="1" applyBorder="1" applyAlignment="1">
      <alignment horizontal="center" vertical="center"/>
    </xf>
    <xf numFmtId="0" fontId="13" fillId="10" borderId="42" xfId="21" applyFont="1" applyFill="1" applyBorder="1">
      <alignment vertical="center"/>
    </xf>
    <xf numFmtId="0" fontId="13" fillId="10" borderId="42" xfId="21" applyFont="1" applyFill="1" applyBorder="1" applyAlignment="1">
      <alignment horizontal="center" vertical="center"/>
    </xf>
    <xf numFmtId="0" fontId="45" fillId="5" borderId="17" xfId="21" applyFont="1" applyFill="1" applyBorder="1" applyAlignment="1">
      <alignment horizontal="center" vertical="center"/>
    </xf>
    <xf numFmtId="0" fontId="45" fillId="0" borderId="18" xfId="21" applyFont="1" applyBorder="1">
      <alignment vertical="center"/>
    </xf>
    <xf numFmtId="0" fontId="45" fillId="5" borderId="18" xfId="21" applyFont="1" applyFill="1" applyBorder="1" applyAlignment="1">
      <alignment horizontal="center" vertical="center"/>
    </xf>
    <xf numFmtId="166" fontId="45" fillId="5" borderId="23" xfId="21" applyNumberFormat="1" applyFont="1" applyFill="1" applyBorder="1" applyAlignment="1">
      <alignment horizontal="center" vertical="center"/>
    </xf>
    <xf numFmtId="0" fontId="45" fillId="10" borderId="42" xfId="21" applyFont="1" applyFill="1" applyBorder="1" applyAlignment="1">
      <alignment horizontal="center" vertical="center"/>
    </xf>
    <xf numFmtId="0" fontId="45" fillId="5" borderId="46" xfId="21" applyFont="1" applyFill="1" applyBorder="1" applyAlignment="1">
      <alignment horizontal="center" vertical="center"/>
    </xf>
    <xf numFmtId="0" fontId="45" fillId="5" borderId="7" xfId="21" applyFont="1" applyFill="1" applyBorder="1">
      <alignment vertical="center"/>
    </xf>
    <xf numFmtId="0" fontId="45" fillId="5" borderId="7" xfId="21" applyFont="1" applyFill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5" fillId="10" borderId="15" xfId="21" applyFont="1" applyFill="1" applyBorder="1" applyAlignment="1">
      <alignment horizontal="center" vertical="center"/>
    </xf>
    <xf numFmtId="0" fontId="42" fillId="10" borderId="13" xfId="0" applyFont="1" applyFill="1" applyBorder="1"/>
    <xf numFmtId="43" fontId="45" fillId="5" borderId="9" xfId="29" applyFont="1" applyFill="1" applyBorder="1" applyAlignment="1">
      <alignment horizontal="center" vertical="center"/>
    </xf>
    <xf numFmtId="43" fontId="45" fillId="5" borderId="9" xfId="29" applyFont="1" applyFill="1" applyBorder="1" applyAlignment="1">
      <alignment vertical="center"/>
    </xf>
    <xf numFmtId="43" fontId="45" fillId="5" borderId="12" xfId="29" applyFont="1" applyFill="1" applyBorder="1" applyAlignment="1">
      <alignment vertical="center"/>
    </xf>
    <xf numFmtId="43" fontId="45" fillId="5" borderId="4" xfId="29" applyFont="1" applyFill="1" applyBorder="1" applyAlignment="1">
      <alignment horizontal="center" vertical="center"/>
    </xf>
    <xf numFmtId="43" fontId="45" fillId="5" borderId="6" xfId="29" applyFont="1" applyFill="1" applyBorder="1" applyAlignment="1">
      <alignment vertical="center"/>
    </xf>
    <xf numFmtId="43" fontId="46" fillId="5" borderId="4" xfId="29" applyFont="1" applyFill="1" applyBorder="1" applyAlignment="1">
      <alignment horizontal="center" vertical="center"/>
    </xf>
    <xf numFmtId="43" fontId="47" fillId="0" borderId="4" xfId="29" applyFont="1" applyBorder="1"/>
    <xf numFmtId="43" fontId="47" fillId="0" borderId="6" xfId="29" applyFont="1" applyBorder="1"/>
    <xf numFmtId="43" fontId="47" fillId="5" borderId="4" xfId="29" applyFont="1" applyFill="1" applyBorder="1" applyAlignment="1">
      <alignment vertical="center"/>
    </xf>
    <xf numFmtId="43" fontId="43" fillId="0" borderId="0" xfId="29" applyFont="1" applyBorder="1"/>
    <xf numFmtId="43" fontId="45" fillId="0" borderId="4" xfId="29" applyFont="1" applyFill="1" applyBorder="1" applyAlignment="1">
      <alignment vertical="center"/>
    </xf>
    <xf numFmtId="43" fontId="45" fillId="0" borderId="6" xfId="29" applyFont="1" applyFill="1" applyBorder="1" applyAlignment="1">
      <alignment vertical="center"/>
    </xf>
    <xf numFmtId="43" fontId="45" fillId="5" borderId="23" xfId="29" applyFont="1" applyFill="1" applyBorder="1" applyAlignment="1">
      <alignment horizontal="center" vertical="center"/>
    </xf>
    <xf numFmtId="43" fontId="45" fillId="0" borderId="23" xfId="29" applyFont="1" applyFill="1" applyBorder="1" applyAlignment="1">
      <alignment vertical="center"/>
    </xf>
    <xf numFmtId="43" fontId="45" fillId="0" borderId="24" xfId="29" applyFont="1" applyFill="1" applyBorder="1" applyAlignment="1">
      <alignment vertical="center"/>
    </xf>
    <xf numFmtId="43" fontId="13" fillId="10" borderId="42" xfId="29" applyFont="1" applyFill="1" applyBorder="1" applyAlignment="1">
      <alignment horizontal="center" vertical="center"/>
    </xf>
    <xf numFmtId="43" fontId="13" fillId="10" borderId="42" xfId="29" applyFont="1" applyFill="1" applyBorder="1" applyAlignment="1">
      <alignment vertical="center"/>
    </xf>
    <xf numFmtId="43" fontId="45" fillId="5" borderId="18" xfId="29" applyFont="1" applyFill="1" applyBorder="1" applyAlignment="1">
      <alignment horizontal="center" vertical="center"/>
    </xf>
    <xf numFmtId="43" fontId="45" fillId="5" borderId="18" xfId="29" applyFont="1" applyFill="1" applyBorder="1" applyAlignment="1">
      <alignment vertical="center"/>
    </xf>
    <xf numFmtId="43" fontId="45" fillId="5" borderId="19" xfId="29" applyFont="1" applyFill="1" applyBorder="1" applyAlignment="1">
      <alignment vertical="center"/>
    </xf>
    <xf numFmtId="43" fontId="45" fillId="5" borderId="23" xfId="29" applyFont="1" applyFill="1" applyBorder="1" applyAlignment="1">
      <alignment vertical="center"/>
    </xf>
    <xf numFmtId="43" fontId="45" fillId="5" borderId="24" xfId="29" applyFont="1" applyFill="1" applyBorder="1" applyAlignment="1">
      <alignment vertical="center"/>
    </xf>
    <xf numFmtId="43" fontId="45" fillId="5" borderId="7" xfId="29" applyFont="1" applyFill="1" applyBorder="1" applyAlignment="1">
      <alignment vertical="center"/>
    </xf>
    <xf numFmtId="43" fontId="45" fillId="5" borderId="47" xfId="29" applyFont="1" applyFill="1" applyBorder="1" applyAlignment="1">
      <alignment vertical="center"/>
    </xf>
    <xf numFmtId="43" fontId="43" fillId="0" borderId="18" xfId="29" applyFont="1" applyBorder="1" applyAlignment="1">
      <alignment horizontal="right"/>
    </xf>
    <xf numFmtId="43" fontId="42" fillId="10" borderId="13" xfId="29" applyFont="1" applyFill="1" applyBorder="1"/>
    <xf numFmtId="0" fontId="13" fillId="10" borderId="8" xfId="12" applyFont="1" applyFill="1" applyBorder="1" applyAlignment="1">
      <alignment horizontal="center" vertical="center" wrapText="1"/>
    </xf>
    <xf numFmtId="0" fontId="13" fillId="10" borderId="4" xfId="12" applyFont="1" applyFill="1" applyBorder="1" applyAlignment="1">
      <alignment horizontal="center" vertical="center" wrapText="1"/>
    </xf>
    <xf numFmtId="0" fontId="13" fillId="10" borderId="4" xfId="12" applyFont="1" applyFill="1" applyBorder="1" applyAlignment="1">
      <alignment horizontal="center" vertical="center" textRotation="90" wrapText="1"/>
    </xf>
    <xf numFmtId="0" fontId="43" fillId="10" borderId="6" xfId="0" applyFont="1" applyFill="1" applyBorder="1"/>
    <xf numFmtId="0" fontId="13" fillId="10" borderId="8" xfId="12" applyFont="1" applyFill="1" applyBorder="1" applyAlignment="1">
      <alignment horizontal="left" vertical="top" wrapText="1"/>
    </xf>
    <xf numFmtId="0" fontId="13" fillId="10" borderId="4" xfId="12" applyFont="1" applyFill="1" applyBorder="1" applyAlignment="1">
      <alignment horizontal="left" vertical="top" wrapText="1"/>
    </xf>
    <xf numFmtId="0" fontId="13" fillId="10" borderId="4" xfId="12" applyFont="1" applyFill="1" applyBorder="1" applyAlignment="1">
      <alignment horizontal="center" vertical="top" wrapText="1"/>
    </xf>
    <xf numFmtId="0" fontId="45" fillId="5" borderId="8" xfId="12" applyFont="1" applyFill="1" applyBorder="1" applyAlignment="1">
      <alignment horizontal="left" vertical="center"/>
    </xf>
    <xf numFmtId="0" fontId="43" fillId="0" borderId="4" xfId="0" applyFont="1" applyBorder="1" applyAlignment="1">
      <alignment horizontal="center"/>
    </xf>
    <xf numFmtId="0" fontId="43" fillId="0" borderId="6" xfId="0" applyFont="1" applyBorder="1"/>
    <xf numFmtId="0" fontId="43" fillId="0" borderId="8" xfId="0" applyFont="1" applyBorder="1" applyAlignment="1">
      <alignment horizontal="left" vertical="center"/>
    </xf>
    <xf numFmtId="167" fontId="45" fillId="5" borderId="4" xfId="29" applyNumberFormat="1" applyFont="1" applyFill="1" applyBorder="1" applyAlignment="1">
      <alignment horizontal="center" vertical="top" wrapText="1"/>
    </xf>
    <xf numFmtId="0" fontId="43" fillId="10" borderId="8" xfId="0" applyFont="1" applyFill="1" applyBorder="1" applyAlignment="1">
      <alignment horizontal="left" vertical="center"/>
    </xf>
    <xf numFmtId="0" fontId="43" fillId="10" borderId="4" xfId="0" applyFont="1" applyFill="1" applyBorder="1" applyAlignment="1">
      <alignment horizontal="center"/>
    </xf>
    <xf numFmtId="0" fontId="43" fillId="10" borderId="4" xfId="0" applyFont="1" applyFill="1" applyBorder="1"/>
    <xf numFmtId="0" fontId="43" fillId="0" borderId="8" xfId="0" applyFont="1" applyBorder="1"/>
    <xf numFmtId="43" fontId="45" fillId="5" borderId="4" xfId="29" applyFont="1" applyFill="1" applyBorder="1" applyAlignment="1">
      <alignment horizontal="center" vertical="top" wrapText="1"/>
    </xf>
    <xf numFmtId="43" fontId="45" fillId="7" borderId="4" xfId="29" applyFont="1" applyFill="1" applyBorder="1" applyAlignment="1">
      <alignment vertical="top"/>
    </xf>
    <xf numFmtId="43" fontId="45" fillId="5" borderId="4" xfId="29" applyFont="1" applyFill="1" applyBorder="1" applyAlignment="1">
      <alignment vertical="top"/>
    </xf>
    <xf numFmtId="0" fontId="42" fillId="10" borderId="8" xfId="0" applyFont="1" applyFill="1" applyBorder="1"/>
    <xf numFmtId="0" fontId="42" fillId="10" borderId="4" xfId="0" applyFont="1" applyFill="1" applyBorder="1"/>
    <xf numFmtId="0" fontId="42" fillId="10" borderId="6" xfId="0" applyFont="1" applyFill="1" applyBorder="1"/>
    <xf numFmtId="0" fontId="42" fillId="11" borderId="8" xfId="0" applyFont="1" applyFill="1" applyBorder="1"/>
    <xf numFmtId="0" fontId="42" fillId="11" borderId="4" xfId="0" applyFont="1" applyFill="1" applyBorder="1"/>
    <xf numFmtId="0" fontId="43" fillId="11" borderId="6" xfId="0" applyFont="1" applyFill="1" applyBorder="1"/>
    <xf numFmtId="0" fontId="43" fillId="0" borderId="15" xfId="0" applyFont="1" applyBorder="1"/>
    <xf numFmtId="0" fontId="43" fillId="0" borderId="13" xfId="0" applyFont="1" applyBorder="1"/>
    <xf numFmtId="0" fontId="43" fillId="0" borderId="14" xfId="0" applyFont="1" applyBorder="1"/>
    <xf numFmtId="43" fontId="45" fillId="5" borderId="4" xfId="29" applyFont="1" applyFill="1" applyBorder="1" applyAlignment="1"/>
    <xf numFmtId="43" fontId="45" fillId="5" borderId="4" xfId="29" quotePrefix="1" applyFont="1" applyFill="1" applyBorder="1" applyAlignment="1">
      <alignment vertical="top" wrapText="1"/>
    </xf>
    <xf numFmtId="43" fontId="43" fillId="10" borderId="4" xfId="29" applyFont="1" applyFill="1" applyBorder="1"/>
    <xf numFmtId="167" fontId="45" fillId="5" borderId="4" xfId="29" applyNumberFormat="1" applyFont="1" applyFill="1" applyBorder="1" applyAlignment="1"/>
    <xf numFmtId="167" fontId="43" fillId="10" borderId="4" xfId="29" applyNumberFormat="1" applyFont="1" applyFill="1" applyBorder="1"/>
    <xf numFmtId="43" fontId="42" fillId="10" borderId="4" xfId="29" applyFont="1" applyFill="1" applyBorder="1"/>
    <xf numFmtId="43" fontId="42" fillId="10" borderId="4" xfId="29" applyFont="1" applyFill="1" applyBorder="1" applyAlignment="1">
      <alignment horizontal="right"/>
    </xf>
    <xf numFmtId="167" fontId="42" fillId="10" borderId="4" xfId="29" applyNumberFormat="1" applyFont="1" applyFill="1" applyBorder="1"/>
    <xf numFmtId="43" fontId="42" fillId="11" borderId="4" xfId="29" applyNumberFormat="1" applyFont="1" applyFill="1" applyBorder="1"/>
    <xf numFmtId="167" fontId="43" fillId="0" borderId="13" xfId="29" applyNumberFormat="1" applyFont="1" applyFill="1" applyBorder="1"/>
    <xf numFmtId="43" fontId="43" fillId="0" borderId="13" xfId="29" applyNumberFormat="1" applyFont="1" applyFill="1" applyBorder="1"/>
    <xf numFmtId="43" fontId="43" fillId="0" borderId="13" xfId="29" applyFont="1" applyFill="1" applyBorder="1"/>
    <xf numFmtId="43" fontId="45" fillId="0" borderId="18" xfId="0" applyNumberFormat="1" applyFont="1" applyFill="1" applyBorder="1"/>
    <xf numFmtId="43" fontId="45" fillId="0" borderId="19" xfId="0" applyNumberFormat="1" applyFont="1" applyFill="1" applyBorder="1"/>
    <xf numFmtId="43" fontId="45" fillId="0" borderId="4" xfId="0" applyNumberFormat="1" applyFont="1" applyFill="1" applyBorder="1"/>
    <xf numFmtId="43" fontId="45" fillId="0" borderId="6" xfId="0" applyNumberFormat="1" applyFont="1" applyFill="1" applyBorder="1"/>
    <xf numFmtId="43" fontId="45" fillId="5" borderId="4" xfId="0" applyNumberFormat="1" applyFont="1" applyFill="1" applyBorder="1"/>
    <xf numFmtId="43" fontId="45" fillId="5" borderId="6" xfId="0" applyNumberFormat="1" applyFont="1" applyFill="1" applyBorder="1"/>
    <xf numFmtId="43" fontId="45" fillId="5" borderId="23" xfId="0" applyNumberFormat="1" applyFont="1" applyFill="1" applyBorder="1"/>
    <xf numFmtId="43" fontId="45" fillId="5" borderId="24" xfId="0" applyNumberFormat="1" applyFont="1" applyFill="1" applyBorder="1"/>
    <xf numFmtId="0" fontId="45" fillId="9" borderId="41" xfId="0" applyFont="1" applyFill="1" applyBorder="1" applyAlignment="1">
      <alignment horizontal="left"/>
    </xf>
    <xf numFmtId="43" fontId="13" fillId="9" borderId="42" xfId="0" applyNumberFormat="1" applyFont="1" applyFill="1" applyBorder="1"/>
    <xf numFmtId="43" fontId="13" fillId="9" borderId="43" xfId="0" applyNumberFormat="1" applyFont="1" applyFill="1" applyBorder="1"/>
    <xf numFmtId="0" fontId="42" fillId="10" borderId="9" xfId="18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18" xfId="0" applyFont="1" applyFill="1" applyBorder="1" applyAlignment="1">
      <alignment vertical="center" wrapText="1"/>
    </xf>
    <xf numFmtId="0" fontId="45" fillId="5" borderId="8" xfId="0" applyFont="1" applyFill="1" applyBorder="1" applyAlignment="1">
      <alignment horizontal="center" vertical="center"/>
    </xf>
    <xf numFmtId="0" fontId="45" fillId="5" borderId="4" xfId="0" applyFont="1" applyFill="1" applyBorder="1" applyAlignment="1">
      <alignment vertical="center" wrapText="1"/>
    </xf>
    <xf numFmtId="0" fontId="45" fillId="5" borderId="4" xfId="0" applyFont="1" applyFill="1" applyBorder="1" applyAlignment="1">
      <alignment vertical="center"/>
    </xf>
    <xf numFmtId="0" fontId="45" fillId="5" borderId="44" xfId="0" applyFont="1" applyFill="1" applyBorder="1" applyAlignment="1">
      <alignment horizontal="center" vertical="center"/>
    </xf>
    <xf numFmtId="0" fontId="45" fillId="5" borderId="23" xfId="0" applyFont="1" applyFill="1" applyBorder="1" applyAlignment="1">
      <alignment vertical="center"/>
    </xf>
    <xf numFmtId="0" fontId="13" fillId="9" borderId="42" xfId="0" applyFont="1" applyFill="1" applyBorder="1"/>
    <xf numFmtId="0" fontId="13" fillId="10" borderId="4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45" fillId="10" borderId="8" xfId="27" applyFont="1" applyFill="1" applyBorder="1" applyAlignment="1">
      <alignment horizontal="center" vertical="center"/>
    </xf>
    <xf numFmtId="0" fontId="45" fillId="10" borderId="4" xfId="27" applyFont="1" applyFill="1" applyBorder="1" applyAlignment="1">
      <alignment horizontal="center" vertical="center"/>
    </xf>
    <xf numFmtId="0" fontId="45" fillId="10" borderId="6" xfId="27" applyFont="1" applyFill="1" applyBorder="1" applyAlignment="1">
      <alignment horizontal="center" vertical="center"/>
    </xf>
    <xf numFmtId="0" fontId="45" fillId="5" borderId="8" xfId="27" applyFont="1" applyFill="1" applyBorder="1" applyAlignment="1">
      <alignment horizontal="center"/>
    </xf>
    <xf numFmtId="0" fontId="45" fillId="5" borderId="4" xfId="27" applyFont="1" applyFill="1" applyBorder="1" applyAlignment="1">
      <alignment wrapText="1"/>
    </xf>
    <xf numFmtId="43" fontId="45" fillId="5" borderId="4" xfId="29" applyFont="1" applyFill="1" applyBorder="1"/>
    <xf numFmtId="43" fontId="45" fillId="5" borderId="6" xfId="29" applyFont="1" applyFill="1" applyBorder="1"/>
    <xf numFmtId="0" fontId="45" fillId="5" borderId="4" xfId="0" quotePrefix="1" applyFont="1" applyFill="1" applyBorder="1" applyAlignment="1">
      <alignment horizontal="left" wrapText="1"/>
    </xf>
    <xf numFmtId="0" fontId="45" fillId="5" borderId="4" xfId="0" applyFont="1" applyFill="1" applyBorder="1"/>
    <xf numFmtId="0" fontId="45" fillId="10" borderId="8" xfId="0" applyFont="1" applyFill="1" applyBorder="1" applyAlignment="1">
      <alignment horizontal="center"/>
    </xf>
    <xf numFmtId="0" fontId="45" fillId="10" borderId="4" xfId="0" applyFont="1" applyFill="1" applyBorder="1"/>
    <xf numFmtId="43" fontId="45" fillId="10" borderId="4" xfId="29" applyFont="1" applyFill="1" applyBorder="1"/>
    <xf numFmtId="43" fontId="45" fillId="10" borderId="4" xfId="29" applyFont="1" applyFill="1" applyBorder="1" applyAlignment="1">
      <alignment horizontal="center"/>
    </xf>
    <xf numFmtId="43" fontId="45" fillId="10" borderId="6" xfId="29" applyFont="1" applyFill="1" applyBorder="1"/>
    <xf numFmtId="0" fontId="13" fillId="10" borderId="15" xfId="27" applyFont="1" applyFill="1" applyBorder="1" applyAlignment="1">
      <alignment horizontal="center"/>
    </xf>
    <xf numFmtId="0" fontId="13" fillId="10" borderId="13" xfId="27" applyFont="1" applyFill="1" applyBorder="1"/>
    <xf numFmtId="43" fontId="13" fillId="10" borderId="13" xfId="27" applyNumberFormat="1" applyFont="1" applyFill="1" applyBorder="1"/>
    <xf numFmtId="43" fontId="13" fillId="10" borderId="13" xfId="27" applyNumberFormat="1" applyFont="1" applyFill="1" applyBorder="1" applyAlignment="1">
      <alignment horizontal="center"/>
    </xf>
    <xf numFmtId="43" fontId="13" fillId="10" borderId="14" xfId="27" applyNumberFormat="1" applyFont="1" applyFill="1" applyBorder="1"/>
    <xf numFmtId="0" fontId="13" fillId="10" borderId="9" xfId="0" applyFont="1" applyFill="1" applyBorder="1" applyAlignment="1">
      <alignment horizontal="center" vertical="center" wrapText="1"/>
    </xf>
    <xf numFmtId="0" fontId="42" fillId="10" borderId="12" xfId="21" applyFont="1" applyFill="1" applyBorder="1" applyAlignment="1">
      <alignment horizontal="center" vertical="center"/>
    </xf>
    <xf numFmtId="0" fontId="42" fillId="10" borderId="4" xfId="21" applyFont="1" applyFill="1" applyBorder="1" applyAlignment="1">
      <alignment horizontal="center" vertical="center" wrapText="1"/>
    </xf>
    <xf numFmtId="0" fontId="42" fillId="10" borderId="6" xfId="21" applyFont="1" applyFill="1" applyBorder="1" applyAlignment="1">
      <alignment horizontal="center" vertical="center"/>
    </xf>
    <xf numFmtId="0" fontId="42" fillId="10" borderId="15" xfId="12" applyFont="1" applyFill="1" applyBorder="1" applyAlignment="1">
      <alignment horizontal="center" vertical="center" wrapText="1"/>
    </xf>
    <xf numFmtId="0" fontId="42" fillId="10" borderId="13" xfId="12" applyFont="1" applyFill="1" applyBorder="1" applyAlignment="1">
      <alignment horizontal="center" vertical="center"/>
    </xf>
    <xf numFmtId="0" fontId="42" fillId="10" borderId="13" xfId="12" applyFont="1" applyFill="1" applyBorder="1" applyAlignment="1">
      <alignment horizontal="center" vertical="center" wrapText="1"/>
    </xf>
    <xf numFmtId="0" fontId="42" fillId="10" borderId="14" xfId="12" applyFont="1" applyFill="1" applyBorder="1" applyAlignment="1">
      <alignment horizontal="center" vertical="center" wrapText="1"/>
    </xf>
    <xf numFmtId="0" fontId="43" fillId="5" borderId="17" xfId="12" applyFont="1" applyFill="1" applyBorder="1" applyAlignment="1">
      <alignment horizontal="center" vertical="center"/>
    </xf>
    <xf numFmtId="0" fontId="43" fillId="5" borderId="18" xfId="12" applyFont="1" applyFill="1" applyBorder="1" applyAlignment="1">
      <alignment horizontal="left" vertical="center" wrapText="1"/>
    </xf>
    <xf numFmtId="0" fontId="43" fillId="5" borderId="18" xfId="12" applyFont="1" applyFill="1" applyBorder="1" applyAlignment="1">
      <alignment horizontal="center"/>
    </xf>
    <xf numFmtId="0" fontId="43" fillId="5" borderId="19" xfId="21" applyFont="1" applyFill="1" applyBorder="1">
      <alignment vertical="center"/>
    </xf>
    <xf numFmtId="0" fontId="43" fillId="5" borderId="8" xfId="12" applyFont="1" applyFill="1" applyBorder="1" applyAlignment="1">
      <alignment horizontal="center" vertical="center"/>
    </xf>
    <xf numFmtId="0" fontId="43" fillId="5" borderId="4" xfId="12" applyFont="1" applyFill="1" applyBorder="1" applyAlignment="1">
      <alignment horizontal="left" vertical="center" wrapText="1"/>
    </xf>
    <xf numFmtId="0" fontId="43" fillId="5" borderId="4" xfId="12" applyFont="1" applyFill="1" applyBorder="1" applyAlignment="1">
      <alignment horizontal="center"/>
    </xf>
    <xf numFmtId="0" fontId="43" fillId="5" borderId="6" xfId="21" applyFont="1" applyFill="1" applyBorder="1">
      <alignment vertical="center"/>
    </xf>
    <xf numFmtId="0" fontId="42" fillId="10" borderId="8" xfId="12" applyFont="1" applyFill="1" applyBorder="1" applyAlignment="1">
      <alignment horizontal="center" vertical="center"/>
    </xf>
    <xf numFmtId="0" fontId="42" fillId="10" borderId="4" xfId="12" applyFont="1" applyFill="1" applyBorder="1" applyAlignment="1">
      <alignment horizontal="left" vertical="center"/>
    </xf>
    <xf numFmtId="0" fontId="42" fillId="10" borderId="4" xfId="12" applyFont="1" applyFill="1" applyBorder="1" applyAlignment="1">
      <alignment horizontal="center" wrapText="1"/>
    </xf>
    <xf numFmtId="0" fontId="42" fillId="10" borderId="6" xfId="21" applyFont="1" applyFill="1" applyBorder="1">
      <alignment vertical="center"/>
    </xf>
    <xf numFmtId="0" fontId="13" fillId="10" borderId="18" xfId="0" applyFont="1" applyFill="1" applyBorder="1" applyAlignment="1">
      <alignment horizontal="center" vertical="center" wrapText="1"/>
    </xf>
    <xf numFmtId="0" fontId="42" fillId="10" borderId="8" xfId="15" applyFont="1" applyFill="1" applyBorder="1" applyAlignment="1">
      <alignment horizontal="center" vertical="center"/>
    </xf>
    <xf numFmtId="0" fontId="42" fillId="10" borderId="4" xfId="15" applyFont="1" applyFill="1" applyBorder="1" applyAlignment="1">
      <alignment horizontal="center" vertical="center"/>
    </xf>
    <xf numFmtId="0" fontId="42" fillId="10" borderId="4" xfId="12" applyFont="1" applyFill="1" applyBorder="1" applyAlignment="1">
      <alignment horizontal="center" vertical="center"/>
    </xf>
    <xf numFmtId="0" fontId="42" fillId="10" borderId="6" xfId="15" applyFont="1" applyFill="1" applyBorder="1" applyAlignment="1">
      <alignment horizontal="center" vertical="center"/>
    </xf>
    <xf numFmtId="0" fontId="43" fillId="5" borderId="8" xfId="15" applyFont="1" applyFill="1" applyBorder="1" applyAlignment="1">
      <alignment horizontal="center" vertical="center"/>
    </xf>
    <xf numFmtId="0" fontId="45" fillId="8" borderId="4" xfId="15" applyFont="1" applyFill="1" applyBorder="1" applyAlignment="1">
      <alignment horizontal="left" vertical="top"/>
    </xf>
    <xf numFmtId="0" fontId="43" fillId="5" borderId="6" xfId="15" applyFont="1" applyFill="1" applyBorder="1" applyAlignment="1">
      <alignment vertical="center"/>
    </xf>
    <xf numFmtId="0" fontId="45" fillId="8" borderId="4" xfId="15" applyFont="1" applyFill="1" applyBorder="1" applyAlignment="1">
      <alignment horizontal="left" vertical="top" wrapText="1"/>
    </xf>
    <xf numFmtId="0" fontId="13" fillId="10" borderId="4" xfId="15" applyFont="1" applyFill="1" applyBorder="1" applyAlignment="1">
      <alignment horizontal="left" vertical="top"/>
    </xf>
    <xf numFmtId="0" fontId="43" fillId="10" borderId="6" xfId="15" applyFont="1" applyFill="1" applyBorder="1" applyAlignment="1">
      <alignment vertical="center"/>
    </xf>
    <xf numFmtId="0" fontId="42" fillId="5" borderId="8" xfId="15" applyFont="1" applyFill="1" applyBorder="1" applyAlignment="1">
      <alignment horizontal="center" vertical="center"/>
    </xf>
    <xf numFmtId="0" fontId="13" fillId="0" borderId="4" xfId="15" applyFont="1" applyBorder="1" applyAlignment="1">
      <alignment horizontal="left" vertical="top"/>
    </xf>
    <xf numFmtId="0" fontId="45" fillId="0" borderId="4" xfId="15" applyFont="1" applyBorder="1" applyAlignment="1">
      <alignment horizontal="left" vertical="top"/>
    </xf>
    <xf numFmtId="0" fontId="13" fillId="0" borderId="6" xfId="15" applyFont="1" applyBorder="1" applyAlignment="1">
      <alignment horizontal="left" vertical="top"/>
    </xf>
    <xf numFmtId="0" fontId="43" fillId="10" borderId="15" xfId="15" applyFont="1" applyFill="1" applyBorder="1" applyAlignment="1">
      <alignment horizontal="center" vertical="center"/>
    </xf>
    <xf numFmtId="0" fontId="13" fillId="10" borderId="13" xfId="15" applyFont="1" applyFill="1" applyBorder="1" applyAlignment="1">
      <alignment horizontal="left" vertical="top"/>
    </xf>
    <xf numFmtId="0" fontId="43" fillId="10" borderId="14" xfId="15" applyFont="1" applyFill="1" applyBorder="1" applyAlignment="1">
      <alignment vertical="center"/>
    </xf>
    <xf numFmtId="0" fontId="42" fillId="10" borderId="15" xfId="15" applyFont="1" applyFill="1" applyBorder="1" applyAlignment="1">
      <alignment horizontal="center" vertical="center"/>
    </xf>
    <xf numFmtId="0" fontId="42" fillId="10" borderId="13" xfId="15" applyFont="1" applyFill="1" applyBorder="1" applyAlignment="1">
      <alignment horizontal="center" vertical="center"/>
    </xf>
    <xf numFmtId="0" fontId="42" fillId="10" borderId="14" xfId="15" applyFont="1" applyFill="1" applyBorder="1" applyAlignment="1">
      <alignment horizontal="center" vertical="center"/>
    </xf>
    <xf numFmtId="0" fontId="43" fillId="5" borderId="17" xfId="15" applyFont="1" applyFill="1" applyBorder="1" applyAlignment="1">
      <alignment horizontal="center" vertical="center"/>
    </xf>
    <xf numFmtId="0" fontId="45" fillId="8" borderId="18" xfId="15" applyFont="1" applyFill="1" applyBorder="1" applyAlignment="1">
      <alignment horizontal="left" vertical="top"/>
    </xf>
    <xf numFmtId="0" fontId="43" fillId="5" borderId="19" xfId="15" applyFont="1" applyFill="1" applyBorder="1" applyAlignment="1">
      <alignment vertical="center"/>
    </xf>
    <xf numFmtId="0" fontId="43" fillId="10" borderId="8" xfId="15" applyFont="1" applyFill="1" applyBorder="1" applyAlignment="1">
      <alignment horizontal="center" vertical="center"/>
    </xf>
    <xf numFmtId="0" fontId="13" fillId="5" borderId="4" xfId="15" applyFont="1" applyFill="1" applyBorder="1" applyAlignment="1">
      <alignment horizontal="left" vertical="top"/>
    </xf>
    <xf numFmtId="0" fontId="43" fillId="0" borderId="0" xfId="0" applyFont="1" applyBorder="1" applyAlignment="1"/>
    <xf numFmtId="0" fontId="42" fillId="10" borderId="18" xfId="0" applyFont="1" applyFill="1" applyBorder="1" applyAlignment="1">
      <alignment horizontal="center"/>
    </xf>
    <xf numFmtId="0" fontId="42" fillId="10" borderId="19" xfId="15" applyFont="1" applyFill="1" applyBorder="1" applyAlignment="1">
      <alignment horizontal="center" vertical="center"/>
    </xf>
    <xf numFmtId="0" fontId="42" fillId="10" borderId="4" xfId="0" applyFont="1" applyFill="1" applyBorder="1" applyAlignment="1">
      <alignment horizontal="center"/>
    </xf>
    <xf numFmtId="0" fontId="42" fillId="0" borderId="8" xfId="15" applyFont="1" applyBorder="1" applyAlignment="1">
      <alignment horizontal="center" vertical="center"/>
    </xf>
    <xf numFmtId="0" fontId="43" fillId="0" borderId="4" xfId="15" applyFont="1" applyBorder="1" applyAlignment="1">
      <alignment horizontal="left" vertical="center"/>
    </xf>
    <xf numFmtId="0" fontId="42" fillId="0" borderId="4" xfId="15" applyFont="1" applyBorder="1" applyAlignment="1">
      <alignment horizontal="center" vertical="center"/>
    </xf>
    <xf numFmtId="0" fontId="13" fillId="10" borderId="4" xfId="12" applyFont="1" applyFill="1" applyBorder="1" applyAlignment="1">
      <alignment horizontal="left"/>
    </xf>
    <xf numFmtId="0" fontId="45" fillId="0" borderId="4" xfId="12" applyFont="1" applyBorder="1" applyAlignment="1">
      <alignment horizontal="left"/>
    </xf>
    <xf numFmtId="0" fontId="13" fillId="10" borderId="13" xfId="12" applyFont="1" applyFill="1" applyBorder="1" applyAlignment="1">
      <alignment horizontal="left"/>
    </xf>
    <xf numFmtId="43" fontId="43" fillId="5" borderId="18" xfId="29" applyFont="1" applyFill="1" applyBorder="1" applyAlignment="1">
      <alignment vertical="center" wrapText="1"/>
    </xf>
    <xf numFmtId="43" fontId="43" fillId="5" borderId="4" xfId="29" applyFont="1" applyFill="1" applyBorder="1" applyAlignment="1">
      <alignment vertical="center" wrapText="1"/>
    </xf>
    <xf numFmtId="43" fontId="42" fillId="10" borderId="4" xfId="29" applyFont="1" applyFill="1" applyBorder="1" applyAlignment="1">
      <alignment vertical="center" wrapText="1"/>
    </xf>
    <xf numFmtId="167" fontId="43" fillId="5" borderId="4" xfId="29" applyNumberFormat="1" applyFont="1" applyFill="1" applyBorder="1" applyAlignment="1">
      <alignment vertical="center"/>
    </xf>
    <xf numFmtId="167" fontId="13" fillId="10" borderId="4" xfId="29" applyNumberFormat="1" applyFont="1" applyFill="1" applyBorder="1" applyAlignment="1">
      <alignment horizontal="right" vertical="top"/>
    </xf>
    <xf numFmtId="167" fontId="43" fillId="5" borderId="4" xfId="29" applyNumberFormat="1" applyFont="1" applyFill="1" applyBorder="1" applyAlignment="1">
      <alignment horizontal="right" vertical="center"/>
    </xf>
    <xf numFmtId="167" fontId="13" fillId="10" borderId="13" xfId="29" applyNumberFormat="1" applyFont="1" applyFill="1" applyBorder="1" applyAlignment="1">
      <alignment horizontal="right" vertical="top"/>
    </xf>
    <xf numFmtId="167" fontId="42" fillId="10" borderId="4" xfId="29" applyNumberFormat="1" applyFont="1" applyFill="1" applyBorder="1" applyAlignment="1">
      <alignment vertical="center"/>
    </xf>
    <xf numFmtId="167" fontId="42" fillId="10" borderId="13" xfId="29" applyNumberFormat="1" applyFont="1" applyFill="1" applyBorder="1" applyAlignment="1">
      <alignment vertical="center"/>
    </xf>
    <xf numFmtId="167" fontId="42" fillId="10" borderId="13" xfId="29" applyNumberFormat="1" applyFont="1" applyFill="1" applyBorder="1"/>
    <xf numFmtId="167" fontId="43" fillId="5" borderId="18" xfId="29" applyNumberFormat="1" applyFont="1" applyFill="1" applyBorder="1" applyAlignment="1">
      <alignment vertical="center"/>
    </xf>
    <xf numFmtId="167" fontId="43" fillId="0" borderId="4" xfId="29" applyNumberFormat="1" applyFont="1" applyFill="1" applyBorder="1" applyAlignment="1">
      <alignment vertical="center"/>
    </xf>
    <xf numFmtId="167" fontId="43" fillId="0" borderId="4" xfId="29" applyNumberFormat="1" applyFont="1" applyFill="1" applyBorder="1"/>
    <xf numFmtId="167" fontId="43" fillId="0" borderId="4" xfId="29" applyNumberFormat="1" applyFont="1" applyFill="1" applyBorder="1" applyAlignment="1">
      <alignment horizontal="right" vertical="center"/>
    </xf>
    <xf numFmtId="0" fontId="42" fillId="10" borderId="4" xfId="0" applyFont="1" applyFill="1" applyBorder="1" applyAlignment="1">
      <alignment horizontal="center" vertical="center" wrapText="1"/>
    </xf>
    <xf numFmtId="0" fontId="42" fillId="10" borderId="6" xfId="0" applyFont="1" applyFill="1" applyBorder="1" applyAlignment="1">
      <alignment horizontal="center"/>
    </xf>
    <xf numFmtId="0" fontId="42" fillId="10" borderId="15" xfId="0" applyFont="1" applyFill="1" applyBorder="1" applyAlignment="1">
      <alignment horizontal="center"/>
    </xf>
    <xf numFmtId="0" fontId="42" fillId="10" borderId="13" xfId="0" applyFont="1" applyFill="1" applyBorder="1" applyAlignment="1">
      <alignment horizontal="center"/>
    </xf>
    <xf numFmtId="0" fontId="43" fillId="5" borderId="16" xfId="0" applyFont="1" applyFill="1" applyBorder="1" applyAlignment="1">
      <alignment horizontal="center"/>
    </xf>
    <xf numFmtId="0" fontId="43" fillId="0" borderId="9" xfId="0" applyFont="1" applyBorder="1"/>
    <xf numFmtId="0" fontId="43" fillId="5" borderId="9" xfId="0" applyFont="1" applyFill="1" applyBorder="1"/>
    <xf numFmtId="0" fontId="43" fillId="5" borderId="8" xfId="0" applyFont="1" applyFill="1" applyBorder="1" applyAlignment="1">
      <alignment horizontal="center"/>
    </xf>
    <xf numFmtId="0" fontId="45" fillId="0" borderId="4" xfId="12" applyFont="1" applyBorder="1"/>
    <xf numFmtId="0" fontId="43" fillId="5" borderId="4" xfId="0" applyFont="1" applyFill="1" applyBorder="1"/>
    <xf numFmtId="0" fontId="43" fillId="0" borderId="4" xfId="0" applyFont="1" applyBorder="1" applyAlignment="1">
      <alignment horizontal="left"/>
    </xf>
    <xf numFmtId="0" fontId="43" fillId="5" borderId="15" xfId="0" applyFont="1" applyFill="1" applyBorder="1" applyAlignment="1">
      <alignment horizontal="center"/>
    </xf>
    <xf numFmtId="0" fontId="42" fillId="5" borderId="13" xfId="0" applyFont="1" applyFill="1" applyBorder="1" applyAlignment="1">
      <alignment horizontal="left"/>
    </xf>
    <xf numFmtId="0" fontId="42" fillId="5" borderId="13" xfId="0" applyFont="1" applyFill="1" applyBorder="1"/>
    <xf numFmtId="0" fontId="42" fillId="10" borderId="8" xfId="0" applyFont="1" applyFill="1" applyBorder="1" applyAlignment="1">
      <alignment horizontal="center"/>
    </xf>
    <xf numFmtId="0" fontId="42" fillId="10" borderId="4" xfId="0" applyFont="1" applyFill="1" applyBorder="1" applyAlignment="1">
      <alignment horizontal="center"/>
    </xf>
    <xf numFmtId="0" fontId="43" fillId="10" borderId="15" xfId="0" applyFont="1" applyFill="1" applyBorder="1" applyAlignment="1">
      <alignment horizontal="center"/>
    </xf>
    <xf numFmtId="0" fontId="42" fillId="10" borderId="13" xfId="0" applyFont="1" applyFill="1" applyBorder="1" applyAlignment="1">
      <alignment horizontal="left"/>
    </xf>
    <xf numFmtId="43" fontId="43" fillId="5" borderId="4" xfId="29" applyFont="1" applyFill="1" applyBorder="1"/>
    <xf numFmtId="167" fontId="43" fillId="5" borderId="9" xfId="29" applyNumberFormat="1" applyFont="1" applyFill="1" applyBorder="1"/>
    <xf numFmtId="167" fontId="43" fillId="5" borderId="4" xfId="29" applyNumberFormat="1" applyFont="1" applyFill="1" applyBorder="1"/>
    <xf numFmtId="167" fontId="43" fillId="5" borderId="6" xfId="29" applyNumberFormat="1" applyFont="1" applyFill="1" applyBorder="1"/>
    <xf numFmtId="167" fontId="42" fillId="5" borderId="13" xfId="29" applyNumberFormat="1" applyFont="1" applyFill="1" applyBorder="1"/>
    <xf numFmtId="167" fontId="42" fillId="5" borderId="14" xfId="29" applyNumberFormat="1" applyFont="1" applyFill="1" applyBorder="1"/>
    <xf numFmtId="167" fontId="43" fillId="0" borderId="0" xfId="29" applyNumberFormat="1" applyFont="1" applyBorder="1"/>
    <xf numFmtId="167" fontId="42" fillId="10" borderId="14" xfId="29" applyNumberFormat="1" applyFont="1" applyFill="1" applyBorder="1"/>
    <xf numFmtId="167" fontId="43" fillId="5" borderId="18" xfId="29" applyNumberFormat="1" applyFont="1" applyFill="1" applyBorder="1"/>
    <xf numFmtId="167" fontId="43" fillId="5" borderId="19" xfId="29" applyNumberFormat="1" applyFont="1" applyFill="1" applyBorder="1"/>
    <xf numFmtId="0" fontId="6" fillId="5" borderId="0" xfId="27" applyFont="1" applyFill="1"/>
    <xf numFmtId="0" fontId="48" fillId="0" borderId="0" xfId="0" applyFont="1"/>
    <xf numFmtId="0" fontId="42" fillId="10" borderId="6" xfId="21" applyFont="1" applyFill="1" applyBorder="1" applyAlignment="1">
      <alignment horizontal="center" vertical="center" wrapText="1"/>
    </xf>
    <xf numFmtId="0" fontId="13" fillId="10" borderId="8" xfId="27" applyFont="1" applyFill="1" applyBorder="1" applyAlignment="1">
      <alignment horizontal="center"/>
    </xf>
    <xf numFmtId="0" fontId="13" fillId="10" borderId="4" xfId="27" applyFont="1" applyFill="1" applyBorder="1" applyAlignment="1">
      <alignment horizontal="center"/>
    </xf>
    <xf numFmtId="0" fontId="13" fillId="10" borderId="6" xfId="27" applyFont="1" applyFill="1" applyBorder="1" applyAlignment="1">
      <alignment horizontal="center"/>
    </xf>
    <xf numFmtId="0" fontId="43" fillId="11" borderId="44" xfId="0" applyFont="1" applyFill="1" applyBorder="1" applyAlignment="1">
      <alignment horizontal="center"/>
    </xf>
    <xf numFmtId="0" fontId="42" fillId="11" borderId="23" xfId="0" applyFont="1" applyFill="1" applyBorder="1"/>
    <xf numFmtId="0" fontId="45" fillId="11" borderId="23" xfId="27" applyFont="1" applyFill="1" applyBorder="1"/>
    <xf numFmtId="0" fontId="45" fillId="11" borderId="24" xfId="27" applyFont="1" applyFill="1" applyBorder="1"/>
    <xf numFmtId="10" fontId="6" fillId="5" borderId="0" xfId="33" applyNumberFormat="1" applyFont="1" applyFill="1"/>
    <xf numFmtId="0" fontId="43" fillId="0" borderId="16" xfId="0" applyFont="1" applyBorder="1" applyAlignment="1">
      <alignment horizontal="right" vertical="center"/>
    </xf>
    <xf numFmtId="0" fontId="45" fillId="5" borderId="9" xfId="27" applyFont="1" applyFill="1" applyBorder="1"/>
    <xf numFmtId="43" fontId="45" fillId="5" borderId="12" xfId="27" applyNumberFormat="1" applyFont="1" applyFill="1" applyBorder="1"/>
    <xf numFmtId="0" fontId="43" fillId="0" borderId="8" xfId="0" applyFont="1" applyBorder="1" applyAlignment="1">
      <alignment horizontal="right" vertical="center"/>
    </xf>
    <xf numFmtId="43" fontId="45" fillId="0" borderId="4" xfId="29" applyFont="1" applyFill="1" applyBorder="1"/>
    <xf numFmtId="0" fontId="45" fillId="5" borderId="4" xfId="27" applyFont="1" applyFill="1" applyBorder="1"/>
    <xf numFmtId="43" fontId="45" fillId="5" borderId="6" xfId="27" applyNumberFormat="1" applyFont="1" applyFill="1" applyBorder="1"/>
    <xf numFmtId="43" fontId="45" fillId="0" borderId="4" xfId="29" applyFont="1" applyFill="1" applyBorder="1" applyAlignment="1">
      <alignment horizontal="right"/>
    </xf>
    <xf numFmtId="1" fontId="49" fillId="7" borderId="20" xfId="0" applyNumberFormat="1" applyFont="1" applyFill="1" applyBorder="1"/>
    <xf numFmtId="0" fontId="51" fillId="0" borderId="4" xfId="0" applyFont="1" applyBorder="1"/>
    <xf numFmtId="43" fontId="45" fillId="5" borderId="6" xfId="27" applyNumberFormat="1" applyFont="1" applyFill="1" applyBorder="1" applyAlignment="1">
      <alignment horizontal="right"/>
    </xf>
    <xf numFmtId="0" fontId="42" fillId="11" borderId="8" xfId="0" applyFont="1" applyFill="1" applyBorder="1" applyAlignment="1">
      <alignment horizontal="center" vertical="center"/>
    </xf>
    <xf numFmtId="43" fontId="45" fillId="11" borderId="4" xfId="29" applyFont="1" applyFill="1" applyBorder="1" applyAlignment="1">
      <alignment horizontal="right" wrapText="1"/>
    </xf>
    <xf numFmtId="0" fontId="45" fillId="11" borderId="4" xfId="27" applyFont="1" applyFill="1" applyBorder="1"/>
    <xf numFmtId="0" fontId="45" fillId="11" borderId="6" xfId="27" applyFont="1" applyFill="1" applyBorder="1"/>
    <xf numFmtId="2" fontId="6" fillId="5" borderId="0" xfId="27" applyNumberFormat="1" applyFont="1" applyFill="1"/>
    <xf numFmtId="43" fontId="45" fillId="0" borderId="4" xfId="29" applyFont="1" applyFill="1" applyBorder="1" applyAlignment="1">
      <alignment horizontal="right" wrapText="1"/>
    </xf>
    <xf numFmtId="2" fontId="45" fillId="0" borderId="20" xfId="27" applyNumberFormat="1" applyFont="1" applyBorder="1"/>
    <xf numFmtId="43" fontId="45" fillId="5" borderId="6" xfId="27" applyNumberFormat="1" applyFont="1" applyFill="1" applyBorder="1" applyAlignment="1">
      <alignment wrapText="1"/>
    </xf>
    <xf numFmtId="43" fontId="45" fillId="11" borderId="4" xfId="29" applyFont="1" applyFill="1" applyBorder="1"/>
    <xf numFmtId="0" fontId="44" fillId="7" borderId="0" xfId="27" applyFont="1" applyFill="1"/>
    <xf numFmtId="0" fontId="42" fillId="10" borderId="8" xfId="0" applyFont="1" applyFill="1" applyBorder="1" applyAlignment="1">
      <alignment horizontal="right" vertical="center"/>
    </xf>
    <xf numFmtId="43" fontId="13" fillId="10" borderId="4" xfId="29" quotePrefix="1" applyFont="1" applyFill="1" applyBorder="1" applyAlignment="1">
      <alignment horizontal="right"/>
    </xf>
    <xf numFmtId="2" fontId="13" fillId="10" borderId="4" xfId="27" applyNumberFormat="1" applyFont="1" applyFill="1" applyBorder="1" applyAlignment="1">
      <alignment horizontal="right"/>
    </xf>
    <xf numFmtId="0" fontId="43" fillId="0" borderId="15" xfId="0" applyFont="1" applyBorder="1" applyAlignment="1">
      <alignment horizontal="right" vertical="center"/>
    </xf>
    <xf numFmtId="10" fontId="45" fillId="0" borderId="13" xfId="33" applyNumberFormat="1" applyFont="1" applyBorder="1"/>
    <xf numFmtId="10" fontId="45" fillId="0" borderId="14" xfId="33" applyNumberFormat="1" applyFont="1" applyBorder="1"/>
    <xf numFmtId="170" fontId="6" fillId="5" borderId="0" xfId="33" applyNumberFormat="1" applyFont="1" applyFill="1"/>
    <xf numFmtId="0" fontId="52" fillId="5" borderId="0" xfId="27" applyFont="1" applyFill="1"/>
    <xf numFmtId="0" fontId="55" fillId="5" borderId="0" xfId="27" applyFont="1" applyFill="1"/>
    <xf numFmtId="0" fontId="45" fillId="5" borderId="20" xfId="27" applyFont="1" applyFill="1" applyBorder="1"/>
    <xf numFmtId="43" fontId="45" fillId="5" borderId="4" xfId="27" applyNumberFormat="1" applyFont="1" applyFill="1" applyBorder="1"/>
    <xf numFmtId="43" fontId="45" fillId="0" borderId="18" xfId="29" applyFont="1" applyFill="1" applyBorder="1"/>
    <xf numFmtId="0" fontId="42" fillId="11" borderId="13" xfId="0" applyFont="1" applyFill="1" applyBorder="1"/>
    <xf numFmtId="43" fontId="13" fillId="10" borderId="6" xfId="29" quotePrefix="1" applyFont="1" applyFill="1" applyBorder="1" applyAlignment="1">
      <alignment horizontal="right"/>
    </xf>
    <xf numFmtId="0" fontId="42" fillId="10" borderId="19" xfId="14" applyFont="1" applyFill="1" applyBorder="1" applyAlignment="1">
      <alignment horizontal="center" vertical="center" wrapText="1"/>
    </xf>
    <xf numFmtId="0" fontId="42" fillId="10" borderId="6" xfId="14" applyFont="1" applyFill="1" applyBorder="1" applyAlignment="1">
      <alignment horizontal="center" vertical="center" wrapText="1"/>
    </xf>
    <xf numFmtId="0" fontId="42" fillId="10" borderId="8" xfId="12" applyFont="1" applyFill="1" applyBorder="1" applyAlignment="1">
      <alignment horizontal="center" vertical="center" wrapText="1"/>
    </xf>
    <xf numFmtId="0" fontId="42" fillId="10" borderId="4" xfId="12" applyFont="1" applyFill="1" applyBorder="1" applyAlignment="1">
      <alignment horizontal="center" vertical="center" wrapText="1"/>
    </xf>
    <xf numFmtId="0" fontId="42" fillId="10" borderId="6" xfId="12" applyFont="1" applyFill="1" applyBorder="1" applyAlignment="1">
      <alignment horizontal="center" vertical="center" wrapText="1"/>
    </xf>
    <xf numFmtId="0" fontId="43" fillId="5" borderId="8" xfId="12" applyFont="1" applyFill="1" applyBorder="1" applyAlignment="1">
      <alignment horizontal="center" vertical="center" wrapText="1"/>
    </xf>
    <xf numFmtId="0" fontId="43" fillId="5" borderId="4" xfId="12" applyFont="1" applyFill="1" applyBorder="1" applyAlignment="1">
      <alignment horizontal="left" vertical="center" wrapText="1" indent="1"/>
    </xf>
    <xf numFmtId="0" fontId="43" fillId="5" borderId="6" xfId="12" applyFont="1" applyFill="1" applyBorder="1"/>
    <xf numFmtId="1" fontId="42" fillId="7" borderId="20" xfId="0" applyNumberFormat="1" applyFont="1" applyFill="1" applyBorder="1"/>
    <xf numFmtId="0" fontId="43" fillId="5" borderId="0" xfId="12" applyFont="1" applyFill="1"/>
    <xf numFmtId="0" fontId="43" fillId="0" borderId="8" xfId="12" applyFont="1" applyBorder="1" applyAlignment="1">
      <alignment horizontal="center" vertical="center" wrapText="1"/>
    </xf>
    <xf numFmtId="0" fontId="43" fillId="0" borderId="4" xfId="12" applyFont="1" applyBorder="1" applyAlignment="1">
      <alignment horizontal="left" vertical="center" wrapText="1" indent="1"/>
    </xf>
    <xf numFmtId="0" fontId="42" fillId="10" borderId="4" xfId="12" applyFont="1" applyFill="1" applyBorder="1" applyAlignment="1">
      <alignment horizontal="left" vertical="center" wrapText="1" indent="1"/>
    </xf>
    <xf numFmtId="2" fontId="42" fillId="10" borderId="6" xfId="12" applyNumberFormat="1" applyFont="1" applyFill="1" applyBorder="1" applyAlignment="1">
      <alignment horizontal="right" vertical="center" wrapText="1"/>
    </xf>
    <xf numFmtId="0" fontId="43" fillId="0" borderId="8" xfId="12" applyFont="1" applyBorder="1" applyAlignment="1">
      <alignment horizontal="center" vertical="center"/>
    </xf>
    <xf numFmtId="0" fontId="43" fillId="0" borderId="4" xfId="12" applyFont="1" applyBorder="1"/>
    <xf numFmtId="10" fontId="50" fillId="0" borderId="4" xfId="12" applyNumberFormat="1" applyFont="1" applyBorder="1" applyAlignment="1">
      <alignment horizontal="right"/>
    </xf>
    <xf numFmtId="0" fontId="50" fillId="0" borderId="4" xfId="12" applyFont="1" applyBorder="1"/>
    <xf numFmtId="0" fontId="50" fillId="0" borderId="6" xfId="12" applyFont="1" applyBorder="1"/>
    <xf numFmtId="0" fontId="42" fillId="10" borderId="13" xfId="12" applyFont="1" applyFill="1" applyBorder="1" applyAlignment="1">
      <alignment horizontal="left" vertical="center" wrapText="1" indent="1"/>
    </xf>
    <xf numFmtId="2" fontId="42" fillId="10" borderId="14" xfId="12" applyNumberFormat="1" applyFont="1" applyFill="1" applyBorder="1" applyAlignment="1">
      <alignment horizontal="right" vertical="center" wrapText="1"/>
    </xf>
    <xf numFmtId="43" fontId="42" fillId="10" borderId="4" xfId="29" applyFont="1" applyFill="1" applyBorder="1" applyAlignment="1">
      <alignment horizontal="right" vertical="center" wrapText="1"/>
    </xf>
    <xf numFmtId="43" fontId="45" fillId="16" borderId="4" xfId="29" applyFont="1" applyFill="1" applyBorder="1"/>
    <xf numFmtId="43" fontId="42" fillId="10" borderId="13" xfId="29" applyFont="1" applyFill="1" applyBorder="1" applyAlignment="1">
      <alignment horizontal="center" vertical="center" wrapText="1"/>
    </xf>
    <xf numFmtId="43" fontId="45" fillId="16" borderId="13" xfId="29" applyFont="1" applyFill="1" applyBorder="1"/>
    <xf numFmtId="0" fontId="14" fillId="10" borderId="4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7" fillId="10" borderId="4" xfId="21" applyFont="1" applyFill="1" applyBorder="1" applyAlignment="1">
      <alignment horizontal="center" vertical="center" wrapText="1"/>
    </xf>
    <xf numFmtId="0" fontId="17" fillId="10" borderId="6" xfId="21" applyFont="1" applyFill="1" applyBorder="1" applyAlignment="1">
      <alignment horizontal="center" vertical="center" wrapText="1"/>
    </xf>
    <xf numFmtId="0" fontId="17" fillId="10" borderId="8" xfId="28" applyFont="1" applyFill="1" applyBorder="1" applyAlignment="1">
      <alignment horizontal="center" vertical="center"/>
    </xf>
    <xf numFmtId="0" fontId="17" fillId="10" borderId="4" xfId="28" applyFont="1" applyFill="1" applyBorder="1" applyAlignment="1">
      <alignment horizontal="center" vertical="center"/>
    </xf>
    <xf numFmtId="0" fontId="17" fillId="10" borderId="4" xfId="14" applyFont="1" applyFill="1" applyBorder="1" applyAlignment="1">
      <alignment horizontal="center" vertical="center"/>
    </xf>
    <xf numFmtId="0" fontId="17" fillId="10" borderId="6" xfId="14" applyFont="1" applyFill="1" applyBorder="1" applyAlignment="1">
      <alignment horizontal="center" vertical="center"/>
    </xf>
    <xf numFmtId="0" fontId="58" fillId="5" borderId="8" xfId="28" applyFont="1" applyFill="1" applyBorder="1" applyAlignment="1">
      <alignment horizontal="center" vertical="top" wrapText="1"/>
    </xf>
    <xf numFmtId="0" fontId="58" fillId="5" borderId="4" xfId="28" applyFont="1" applyFill="1" applyBorder="1" applyAlignment="1">
      <alignment vertical="top" wrapText="1"/>
    </xf>
    <xf numFmtId="49" fontId="17" fillId="5" borderId="4" xfId="28" applyNumberFormat="1" applyFont="1" applyFill="1" applyBorder="1" applyAlignment="1">
      <alignment horizontal="center" vertical="center"/>
    </xf>
    <xf numFmtId="2" fontId="58" fillId="5" borderId="4" xfId="28" applyNumberFormat="1" applyFont="1" applyFill="1" applyBorder="1">
      <alignment vertical="center"/>
    </xf>
    <xf numFmtId="2" fontId="58" fillId="5" borderId="6" xfId="28" applyNumberFormat="1" applyFont="1" applyFill="1" applyBorder="1">
      <alignment vertical="center"/>
    </xf>
    <xf numFmtId="0" fontId="58" fillId="5" borderId="8" xfId="21" applyFont="1" applyFill="1" applyBorder="1" applyAlignment="1">
      <alignment horizontal="center" vertical="center" wrapText="1"/>
    </xf>
    <xf numFmtId="0" fontId="58" fillId="5" borderId="4" xfId="21" applyFont="1" applyFill="1" applyBorder="1" applyAlignment="1">
      <alignment vertical="top" wrapText="1"/>
    </xf>
    <xf numFmtId="49" fontId="58" fillId="5" borderId="4" xfId="21" applyNumberFormat="1" applyFont="1" applyFill="1" applyBorder="1" applyAlignment="1">
      <alignment horizontal="center" vertical="center"/>
    </xf>
    <xf numFmtId="9" fontId="58" fillId="5" borderId="4" xfId="33" applyFont="1" applyFill="1" applyBorder="1" applyAlignment="1">
      <alignment vertical="center"/>
    </xf>
    <xf numFmtId="9" fontId="58" fillId="5" borderId="6" xfId="33" applyFont="1" applyFill="1" applyBorder="1" applyAlignment="1">
      <alignment vertical="center"/>
    </xf>
    <xf numFmtId="0" fontId="58" fillId="10" borderId="15" xfId="21" applyFont="1" applyFill="1" applyBorder="1" applyAlignment="1">
      <alignment horizontal="center" vertical="center" wrapText="1"/>
    </xf>
    <xf numFmtId="0" fontId="17" fillId="10" borderId="13" xfId="21" applyFont="1" applyFill="1" applyBorder="1" applyAlignment="1">
      <alignment vertical="top" wrapText="1"/>
    </xf>
    <xf numFmtId="49" fontId="58" fillId="10" borderId="13" xfId="21" applyNumberFormat="1" applyFont="1" applyFill="1" applyBorder="1" applyAlignment="1">
      <alignment horizontal="center" vertical="center"/>
    </xf>
    <xf numFmtId="2" fontId="17" fillId="10" borderId="13" xfId="21" applyNumberFormat="1" applyFont="1" applyFill="1" applyBorder="1">
      <alignment vertical="center"/>
    </xf>
    <xf numFmtId="2" fontId="17" fillId="10" borderId="14" xfId="21" applyNumberFormat="1" applyFont="1" applyFill="1" applyBorder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/>
    </xf>
    <xf numFmtId="0" fontId="43" fillId="5" borderId="8" xfId="0" applyFont="1" applyFill="1" applyBorder="1" applyAlignment="1">
      <alignment horizontal="right"/>
    </xf>
    <xf numFmtId="0" fontId="43" fillId="5" borderId="4" xfId="0" applyFont="1" applyFill="1" applyBorder="1" applyAlignment="1">
      <alignment horizontal="left"/>
    </xf>
    <xf numFmtId="0" fontId="42" fillId="10" borderId="15" xfId="0" applyFont="1" applyFill="1" applyBorder="1" applyAlignment="1">
      <alignment horizontal="right"/>
    </xf>
    <xf numFmtId="0" fontId="13" fillId="13" borderId="0" xfId="0" applyFont="1" applyFill="1" applyBorder="1" applyAlignment="1">
      <alignment horizontal="center"/>
    </xf>
    <xf numFmtId="0" fontId="59" fillId="10" borderId="4" xfId="0" applyFont="1" applyFill="1" applyBorder="1" applyAlignment="1">
      <alignment horizontal="center" vertical="center" wrapText="1"/>
    </xf>
    <xf numFmtId="0" fontId="59" fillId="10" borderId="4" xfId="0" applyFont="1" applyFill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/>
    </xf>
    <xf numFmtId="0" fontId="60" fillId="5" borderId="8" xfId="0" applyFont="1" applyFill="1" applyBorder="1" applyAlignment="1">
      <alignment horizontal="right"/>
    </xf>
    <xf numFmtId="0" fontId="60" fillId="5" borderId="4" xfId="0" applyFont="1" applyFill="1" applyBorder="1" applyAlignment="1">
      <alignment horizontal="left"/>
    </xf>
    <xf numFmtId="43" fontId="60" fillId="0" borderId="4" xfId="29" applyFont="1" applyFill="1" applyBorder="1" applyAlignment="1">
      <alignment horizontal="center" vertical="center"/>
    </xf>
    <xf numFmtId="43" fontId="60" fillId="7" borderId="4" xfId="29" applyFont="1" applyFill="1" applyBorder="1" applyAlignment="1">
      <alignment horizontal="center" vertical="center"/>
    </xf>
    <xf numFmtId="43" fontId="60" fillId="0" borderId="4" xfId="29" applyFont="1" applyFill="1" applyBorder="1" applyAlignment="1">
      <alignment horizontal="center" vertical="center" wrapText="1"/>
    </xf>
    <xf numFmtId="43" fontId="59" fillId="0" borderId="6" xfId="29" applyFont="1" applyFill="1" applyBorder="1" applyAlignment="1">
      <alignment horizontal="center" vertical="center"/>
    </xf>
    <xf numFmtId="0" fontId="59" fillId="10" borderId="15" xfId="0" applyFont="1" applyFill="1" applyBorder="1" applyAlignment="1">
      <alignment horizontal="right"/>
    </xf>
    <xf numFmtId="0" fontId="59" fillId="10" borderId="13" xfId="0" applyFont="1" applyFill="1" applyBorder="1" applyAlignment="1">
      <alignment horizontal="left"/>
    </xf>
    <xf numFmtId="43" fontId="59" fillId="10" borderId="13" xfId="29" applyFont="1" applyFill="1" applyBorder="1"/>
    <xf numFmtId="43" fontId="59" fillId="10" borderId="14" xfId="29" applyFont="1" applyFill="1" applyBorder="1"/>
    <xf numFmtId="43" fontId="43" fillId="0" borderId="4" xfId="29" applyFont="1" applyFill="1" applyBorder="1" applyAlignment="1">
      <alignment horizontal="right" vertical="center"/>
    </xf>
    <xf numFmtId="43" fontId="42" fillId="0" borderId="6" xfId="29" applyFont="1" applyFill="1" applyBorder="1" applyAlignment="1">
      <alignment horizontal="center" vertical="center"/>
    </xf>
    <xf numFmtId="43" fontId="42" fillId="10" borderId="14" xfId="29" applyFont="1" applyFill="1" applyBorder="1"/>
    <xf numFmtId="0" fontId="14" fillId="10" borderId="16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57" fillId="5" borderId="17" xfId="0" applyFont="1" applyFill="1" applyBorder="1" applyAlignment="1">
      <alignment horizontal="center" vertical="center"/>
    </xf>
    <xf numFmtId="0" fontId="57" fillId="5" borderId="18" xfId="0" applyFont="1" applyFill="1" applyBorder="1" applyAlignment="1">
      <alignment horizontal="left" vertical="center" wrapText="1"/>
    </xf>
    <xf numFmtId="0" fontId="57" fillId="5" borderId="18" xfId="0" applyFont="1" applyFill="1" applyBorder="1" applyAlignment="1">
      <alignment horizontal="center" vertical="center"/>
    </xf>
    <xf numFmtId="0" fontId="57" fillId="5" borderId="19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4" xfId="0" applyFont="1" applyFill="1" applyBorder="1" applyAlignment="1">
      <alignment horizontal="left" vertical="center" wrapText="1"/>
    </xf>
    <xf numFmtId="0" fontId="57" fillId="5" borderId="4" xfId="0" applyFont="1" applyFill="1" applyBorder="1" applyAlignment="1">
      <alignment horizontal="center" vertical="center"/>
    </xf>
    <xf numFmtId="0" fontId="57" fillId="5" borderId="6" xfId="0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4" xfId="0" applyFont="1" applyFill="1" applyBorder="1" applyAlignment="1">
      <alignment horizontal="left" vertical="center" wrapText="1"/>
    </xf>
    <xf numFmtId="0" fontId="57" fillId="0" borderId="4" xfId="0" applyFont="1" applyFill="1" applyBorder="1" applyAlignment="1">
      <alignment horizontal="center" vertical="center"/>
    </xf>
    <xf numFmtId="0" fontId="57" fillId="0" borderId="6" xfId="0" applyFont="1" applyFill="1" applyBorder="1" applyAlignment="1">
      <alignment horizontal="center" vertical="center"/>
    </xf>
    <xf numFmtId="0" fontId="57" fillId="10" borderId="41" xfId="0" applyFont="1" applyFill="1" applyBorder="1"/>
    <xf numFmtId="0" fontId="57" fillId="10" borderId="43" xfId="0" applyFont="1" applyFill="1" applyBorder="1"/>
    <xf numFmtId="0" fontId="62" fillId="10" borderId="16" xfId="0" applyFont="1" applyFill="1" applyBorder="1" applyAlignment="1">
      <alignment horizontal="center" vertical="center" wrapText="1"/>
    </xf>
    <xf numFmtId="0" fontId="62" fillId="10" borderId="9" xfId="0" applyFont="1" applyFill="1" applyBorder="1" applyAlignment="1">
      <alignment horizontal="center" vertical="center" wrapText="1"/>
    </xf>
    <xf numFmtId="0" fontId="62" fillId="10" borderId="12" xfId="0" applyFont="1" applyFill="1" applyBorder="1" applyAlignment="1">
      <alignment horizontal="center" vertical="center" wrapText="1"/>
    </xf>
    <xf numFmtId="0" fontId="62" fillId="10" borderId="15" xfId="0" applyFont="1" applyFill="1" applyBorder="1" applyAlignment="1">
      <alignment horizontal="center" vertical="center"/>
    </xf>
    <xf numFmtId="0" fontId="62" fillId="10" borderId="13" xfId="0" applyFont="1" applyFill="1" applyBorder="1" applyAlignment="1">
      <alignment horizontal="center" vertical="center" wrapText="1"/>
    </xf>
    <xf numFmtId="0" fontId="62" fillId="10" borderId="13" xfId="0" applyFont="1" applyFill="1" applyBorder="1" applyAlignment="1">
      <alignment horizontal="center" vertical="center"/>
    </xf>
    <xf numFmtId="0" fontId="62" fillId="10" borderId="14" xfId="0" applyFont="1" applyFill="1" applyBorder="1" applyAlignment="1">
      <alignment horizontal="center" vertical="center"/>
    </xf>
    <xf numFmtId="0" fontId="61" fillId="5" borderId="17" xfId="0" applyFont="1" applyFill="1" applyBorder="1" applyAlignment="1">
      <alignment horizontal="center" vertical="center"/>
    </xf>
    <xf numFmtId="0" fontId="61" fillId="5" borderId="18" xfId="0" applyFont="1" applyFill="1" applyBorder="1" applyAlignment="1">
      <alignment horizontal="left" vertical="center" wrapText="1"/>
    </xf>
    <xf numFmtId="0" fontId="61" fillId="5" borderId="18" xfId="0" applyFont="1" applyFill="1" applyBorder="1" applyAlignment="1">
      <alignment horizontal="center" vertical="center"/>
    </xf>
    <xf numFmtId="0" fontId="61" fillId="5" borderId="18" xfId="0" applyFont="1" applyFill="1" applyBorder="1" applyAlignment="1">
      <alignment horizontal="right" vertical="center"/>
    </xf>
    <xf numFmtId="0" fontId="61" fillId="5" borderId="19" xfId="0" applyFont="1" applyFill="1" applyBorder="1" applyAlignment="1">
      <alignment horizontal="center" vertical="center"/>
    </xf>
    <xf numFmtId="0" fontId="61" fillId="5" borderId="8" xfId="0" applyFont="1" applyFill="1" applyBorder="1" applyAlignment="1">
      <alignment horizontal="center" vertical="center"/>
    </xf>
    <xf numFmtId="0" fontId="61" fillId="5" borderId="4" xfId="0" applyFont="1" applyFill="1" applyBorder="1" applyAlignment="1">
      <alignment horizontal="left" vertical="center" wrapText="1"/>
    </xf>
    <xf numFmtId="0" fontId="61" fillId="5" borderId="4" xfId="0" applyFont="1" applyFill="1" applyBorder="1" applyAlignment="1">
      <alignment horizontal="center" vertical="center"/>
    </xf>
    <xf numFmtId="0" fontId="61" fillId="5" borderId="4" xfId="0" applyFont="1" applyFill="1" applyBorder="1" applyAlignment="1">
      <alignment horizontal="right" vertical="center"/>
    </xf>
    <xf numFmtId="0" fontId="61" fillId="5" borderId="6" xfId="0" applyFont="1" applyFill="1" applyBorder="1" applyAlignment="1">
      <alignment horizontal="center" vertical="center"/>
    </xf>
    <xf numFmtId="0" fontId="61" fillId="7" borderId="8" xfId="0" applyFont="1" applyFill="1" applyBorder="1" applyAlignment="1">
      <alignment horizontal="center" vertical="center"/>
    </xf>
    <xf numFmtId="0" fontId="61" fillId="7" borderId="4" xfId="0" applyFont="1" applyFill="1" applyBorder="1" applyAlignment="1">
      <alignment horizontal="left" vertical="center" wrapText="1"/>
    </xf>
    <xf numFmtId="0" fontId="61" fillId="7" borderId="4" xfId="0" applyFont="1" applyFill="1" applyBorder="1" applyAlignment="1">
      <alignment horizontal="center" vertical="center"/>
    </xf>
    <xf numFmtId="0" fontId="61" fillId="7" borderId="4" xfId="0" applyFont="1" applyFill="1" applyBorder="1" applyAlignment="1">
      <alignment horizontal="right" vertical="center"/>
    </xf>
    <xf numFmtId="0" fontId="61" fillId="7" borderId="6" xfId="0" applyFont="1" applyFill="1" applyBorder="1" applyAlignment="1">
      <alignment horizontal="center" vertical="center"/>
    </xf>
    <xf numFmtId="0" fontId="61" fillId="5" borderId="44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left" vertical="center" wrapText="1"/>
    </xf>
    <xf numFmtId="0" fontId="61" fillId="5" borderId="23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right" vertical="center"/>
    </xf>
    <xf numFmtId="0" fontId="61" fillId="5" borderId="24" xfId="0" applyFont="1" applyFill="1" applyBorder="1" applyAlignment="1">
      <alignment horizontal="center" vertical="center"/>
    </xf>
    <xf numFmtId="0" fontId="61" fillId="10" borderId="41" xfId="0" applyFont="1" applyFill="1" applyBorder="1"/>
    <xf numFmtId="0" fontId="61" fillId="10" borderId="42" xfId="0" applyFont="1" applyFill="1" applyBorder="1"/>
    <xf numFmtId="0" fontId="61" fillId="10" borderId="43" xfId="0" applyFont="1" applyFill="1" applyBorder="1"/>
    <xf numFmtId="43" fontId="57" fillId="5" borderId="18" xfId="29" applyFont="1" applyFill="1" applyBorder="1" applyAlignment="1">
      <alignment horizontal="right" vertical="center"/>
    </xf>
    <xf numFmtId="43" fontId="57" fillId="5" borderId="4" xfId="29" applyFont="1" applyFill="1" applyBorder="1" applyAlignment="1">
      <alignment horizontal="right" vertical="center"/>
    </xf>
    <xf numFmtId="43" fontId="57" fillId="0" borderId="4" xfId="29" applyFont="1" applyFill="1" applyBorder="1" applyAlignment="1">
      <alignment horizontal="right" vertical="center"/>
    </xf>
    <xf numFmtId="0" fontId="63" fillId="10" borderId="42" xfId="0" applyFont="1" applyFill="1" applyBorder="1"/>
    <xf numFmtId="43" fontId="63" fillId="10" borderId="42" xfId="29" applyFont="1" applyFill="1" applyBorder="1"/>
    <xf numFmtId="0" fontId="63" fillId="10" borderId="9" xfId="0" applyFont="1" applyFill="1" applyBorder="1" applyAlignment="1">
      <alignment horizontal="center" vertical="center" wrapText="1"/>
    </xf>
    <xf numFmtId="0" fontId="63" fillId="10" borderId="12" xfId="27" applyFont="1" applyFill="1" applyBorder="1" applyAlignment="1">
      <alignment horizontal="center" vertical="center" wrapText="1"/>
    </xf>
    <xf numFmtId="0" fontId="49" fillId="10" borderId="4" xfId="21" applyFont="1" applyFill="1" applyBorder="1" applyAlignment="1">
      <alignment horizontal="center" vertical="center" wrapText="1"/>
    </xf>
    <xf numFmtId="0" fontId="63" fillId="10" borderId="6" xfId="27" applyFont="1" applyFill="1" applyBorder="1" applyAlignment="1">
      <alignment horizontal="center" vertical="center" wrapText="1"/>
    </xf>
    <xf numFmtId="0" fontId="63" fillId="10" borderId="15" xfId="27" applyFont="1" applyFill="1" applyBorder="1" applyAlignment="1">
      <alignment horizontal="center"/>
    </xf>
    <xf numFmtId="0" fontId="63" fillId="10" borderId="13" xfId="27" applyFont="1" applyFill="1" applyBorder="1" applyAlignment="1">
      <alignment horizontal="center"/>
    </xf>
    <xf numFmtId="0" fontId="63" fillId="10" borderId="14" xfId="27" applyFont="1" applyFill="1" applyBorder="1" applyAlignment="1">
      <alignment horizontal="center"/>
    </xf>
    <xf numFmtId="0" fontId="57" fillId="5" borderId="17" xfId="27" applyFont="1" applyFill="1" applyBorder="1" applyAlignment="1">
      <alignment horizontal="center"/>
    </xf>
    <xf numFmtId="0" fontId="57" fillId="5" borderId="18" xfId="27" applyFont="1" applyFill="1" applyBorder="1"/>
    <xf numFmtId="43" fontId="57" fillId="5" borderId="4" xfId="29" applyFont="1" applyFill="1" applyBorder="1"/>
    <xf numFmtId="43" fontId="57" fillId="5" borderId="18" xfId="29" applyFont="1" applyFill="1" applyBorder="1"/>
    <xf numFmtId="0" fontId="57" fillId="5" borderId="19" xfId="27" applyFont="1" applyFill="1" applyBorder="1"/>
    <xf numFmtId="0" fontId="57" fillId="5" borderId="8" xfId="27" applyFont="1" applyFill="1" applyBorder="1" applyAlignment="1">
      <alignment horizontal="center"/>
    </xf>
    <xf numFmtId="0" fontId="57" fillId="5" borderId="4" xfId="27" applyFont="1" applyFill="1" applyBorder="1"/>
    <xf numFmtId="0" fontId="57" fillId="5" borderId="6" xfId="27" applyFont="1" applyFill="1" applyBorder="1"/>
    <xf numFmtId="0" fontId="57" fillId="5" borderId="8" xfId="27" applyFont="1" applyFill="1" applyBorder="1"/>
    <xf numFmtId="0" fontId="63" fillId="5" borderId="4" xfId="27" applyFont="1" applyFill="1" applyBorder="1"/>
    <xf numFmtId="0" fontId="57" fillId="5" borderId="4" xfId="27" applyFont="1" applyFill="1" applyBorder="1" applyAlignment="1">
      <alignment wrapText="1"/>
    </xf>
    <xf numFmtId="0" fontId="57" fillId="10" borderId="8" xfId="27" applyFont="1" applyFill="1" applyBorder="1"/>
    <xf numFmtId="0" fontId="63" fillId="10" borderId="4" xfId="27" applyFont="1" applyFill="1" applyBorder="1"/>
    <xf numFmtId="43" fontId="63" fillId="10" borderId="4" xfId="27" applyNumberFormat="1" applyFont="1" applyFill="1" applyBorder="1"/>
    <xf numFmtId="0" fontId="57" fillId="10" borderId="6" xfId="27" applyFont="1" applyFill="1" applyBorder="1"/>
    <xf numFmtId="0" fontId="57" fillId="10" borderId="15" xfId="27" applyFont="1" applyFill="1" applyBorder="1"/>
    <xf numFmtId="0" fontId="63" fillId="10" borderId="13" xfId="27" applyFont="1" applyFill="1" applyBorder="1"/>
    <xf numFmtId="43" fontId="57" fillId="10" borderId="13" xfId="29" applyFont="1" applyFill="1" applyBorder="1"/>
    <xf numFmtId="0" fontId="57" fillId="10" borderId="14" xfId="27" applyFont="1" applyFill="1" applyBorder="1"/>
    <xf numFmtId="43" fontId="57" fillId="0" borderId="4" xfId="29" applyFont="1" applyFill="1" applyBorder="1"/>
    <xf numFmtId="0" fontId="13" fillId="10" borderId="17" xfId="0" applyFont="1" applyFill="1" applyBorder="1" applyAlignment="1">
      <alignment vertical="center" wrapText="1"/>
    </xf>
    <xf numFmtId="0" fontId="13" fillId="10" borderId="18" xfId="0" applyFont="1" applyFill="1" applyBorder="1" applyAlignment="1">
      <alignment vertical="center"/>
    </xf>
    <xf numFmtId="0" fontId="13" fillId="10" borderId="18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vertical="center"/>
    </xf>
    <xf numFmtId="0" fontId="13" fillId="10" borderId="8" xfId="0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/>
    </xf>
    <xf numFmtId="0" fontId="13" fillId="10" borderId="8" xfId="0" applyFont="1" applyFill="1" applyBorder="1" applyAlignment="1">
      <alignment horizontal="center" vertical="center"/>
    </xf>
    <xf numFmtId="0" fontId="45" fillId="5" borderId="4" xfId="0" applyFont="1" applyFill="1" applyBorder="1" applyAlignment="1">
      <alignment horizontal="left" vertical="center"/>
    </xf>
    <xf numFmtId="10" fontId="45" fillId="0" borderId="6" xfId="33" applyNumberFormat="1" applyFont="1" applyFill="1" applyBorder="1" applyAlignment="1">
      <alignment vertical="center"/>
    </xf>
    <xf numFmtId="171" fontId="45" fillId="0" borderId="6" xfId="33" applyNumberFormat="1" applyFont="1" applyFill="1" applyBorder="1" applyAlignment="1">
      <alignment vertical="center"/>
    </xf>
    <xf numFmtId="0" fontId="45" fillId="10" borderId="8" xfId="0" applyFont="1" applyFill="1" applyBorder="1" applyAlignment="1">
      <alignment horizontal="center" vertical="center"/>
    </xf>
    <xf numFmtId="0" fontId="13" fillId="10" borderId="4" xfId="0" applyFont="1" applyFill="1" applyBorder="1"/>
    <xf numFmtId="10" fontId="65" fillId="10" borderId="6" xfId="33" applyNumberFormat="1" applyFont="1" applyFill="1" applyBorder="1" applyAlignment="1">
      <alignment vertical="center"/>
    </xf>
    <xf numFmtId="10" fontId="45" fillId="11" borderId="6" xfId="0" applyNumberFormat="1" applyFont="1" applyFill="1" applyBorder="1" applyAlignment="1">
      <alignment vertical="center"/>
    </xf>
    <xf numFmtId="0" fontId="45" fillId="10" borderId="15" xfId="0" applyFont="1" applyFill="1" applyBorder="1" applyAlignment="1">
      <alignment horizontal="center" vertical="center"/>
    </xf>
    <xf numFmtId="0" fontId="45" fillId="10" borderId="13" xfId="0" applyFont="1" applyFill="1" applyBorder="1"/>
    <xf numFmtId="10" fontId="13" fillId="10" borderId="14" xfId="33" applyNumberFormat="1" applyFont="1" applyFill="1" applyBorder="1" applyAlignment="1">
      <alignment vertical="center"/>
    </xf>
    <xf numFmtId="43" fontId="13" fillId="10" borderId="4" xfId="29" applyFont="1" applyFill="1" applyBorder="1" applyAlignment="1">
      <alignment horizontal="right"/>
    </xf>
    <xf numFmtId="43" fontId="45" fillId="11" borderId="4" xfId="29" applyFont="1" applyFill="1" applyBorder="1" applyAlignment="1">
      <alignment horizontal="right"/>
    </xf>
    <xf numFmtId="43" fontId="45" fillId="11" borderId="4" xfId="29" applyFont="1" applyFill="1" applyBorder="1" applyAlignment="1">
      <alignment horizontal="right" vertical="center"/>
    </xf>
    <xf numFmtId="43" fontId="13" fillId="10" borderId="13" xfId="29" applyFont="1" applyFill="1" applyBorder="1" applyAlignment="1">
      <alignment horizontal="right"/>
    </xf>
    <xf numFmtId="43" fontId="13" fillId="10" borderId="13" xfId="29" applyFont="1" applyFill="1" applyBorder="1" applyAlignment="1">
      <alignment horizontal="right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/>
    </xf>
    <xf numFmtId="0" fontId="45" fillId="5" borderId="18" xfId="0" applyFont="1" applyFill="1" applyBorder="1"/>
    <xf numFmtId="43" fontId="45" fillId="5" borderId="18" xfId="29" applyFont="1" applyFill="1" applyBorder="1"/>
    <xf numFmtId="0" fontId="45" fillId="5" borderId="19" xfId="0" applyFont="1" applyFill="1" applyBorder="1"/>
    <xf numFmtId="0" fontId="45" fillId="5" borderId="4" xfId="0" applyFont="1" applyFill="1" applyBorder="1" applyAlignment="1">
      <alignment horizontal="left" wrapText="1"/>
    </xf>
    <xf numFmtId="0" fontId="45" fillId="5" borderId="6" xfId="0" applyFont="1" applyFill="1" applyBorder="1"/>
    <xf numFmtId="0" fontId="45" fillId="5" borderId="4" xfId="0" applyFont="1" applyFill="1" applyBorder="1" applyAlignment="1">
      <alignment horizontal="right"/>
    </xf>
    <xf numFmtId="0" fontId="13" fillId="10" borderId="8" xfId="0" applyFont="1" applyFill="1" applyBorder="1" applyAlignment="1">
      <alignment horizontal="center"/>
    </xf>
    <xf numFmtId="0" fontId="45" fillId="10" borderId="6" xfId="0" applyFont="1" applyFill="1" applyBorder="1"/>
    <xf numFmtId="0" fontId="45" fillId="0" borderId="8" xfId="0" quotePrefix="1" applyFont="1" applyBorder="1" applyAlignment="1">
      <alignment horizontal="center"/>
    </xf>
    <xf numFmtId="0" fontId="13" fillId="0" borderId="4" xfId="0" applyFont="1" applyBorder="1"/>
    <xf numFmtId="0" fontId="45" fillId="0" borderId="8" xfId="0" applyFont="1" applyBorder="1" applyAlignment="1">
      <alignment horizontal="center"/>
    </xf>
    <xf numFmtId="0" fontId="45" fillId="0" borderId="4" xfId="0" applyFont="1" applyBorder="1"/>
    <xf numFmtId="0" fontId="45" fillId="0" borderId="8" xfId="0" applyFont="1" applyBorder="1" applyAlignment="1">
      <alignment horizontal="right"/>
    </xf>
    <xf numFmtId="0" fontId="45" fillId="0" borderId="4" xfId="0" applyFont="1" applyBorder="1" applyAlignment="1">
      <alignment horizontal="right"/>
    </xf>
    <xf numFmtId="0" fontId="45" fillId="0" borderId="15" xfId="0" applyFont="1" applyBorder="1" applyAlignment="1">
      <alignment horizontal="right"/>
    </xf>
    <xf numFmtId="0" fontId="45" fillId="0" borderId="13" xfId="0" applyFont="1" applyBorder="1" applyAlignment="1">
      <alignment horizontal="right"/>
    </xf>
    <xf numFmtId="0" fontId="45" fillId="0" borderId="13" xfId="0" applyFont="1" applyBorder="1"/>
    <xf numFmtId="43" fontId="45" fillId="0" borderId="13" xfId="29" applyFont="1" applyFill="1" applyBorder="1"/>
    <xf numFmtId="0" fontId="45" fillId="5" borderId="14" xfId="0" applyFont="1" applyFill="1" applyBorder="1"/>
    <xf numFmtId="0" fontId="45" fillId="5" borderId="0" xfId="12" applyFont="1" applyFill="1" applyBorder="1"/>
    <xf numFmtId="0" fontId="13" fillId="5" borderId="34" xfId="12" applyFont="1" applyFill="1" applyBorder="1" applyAlignment="1">
      <alignment horizontal="right"/>
    </xf>
    <xf numFmtId="0" fontId="13" fillId="6" borderId="8" xfId="12" applyFont="1" applyFill="1" applyBorder="1" applyAlignment="1">
      <alignment horizontal="center" vertical="center" wrapText="1"/>
    </xf>
    <xf numFmtId="0" fontId="13" fillId="6" borderId="4" xfId="12" applyFont="1" applyFill="1" applyBorder="1" applyAlignment="1">
      <alignment horizontal="center" vertical="center" wrapText="1"/>
    </xf>
    <xf numFmtId="16" fontId="13" fillId="6" borderId="4" xfId="12" applyNumberFormat="1" applyFont="1" applyFill="1" applyBorder="1" applyAlignment="1">
      <alignment horizontal="center" vertical="center" wrapText="1"/>
    </xf>
    <xf numFmtId="16" fontId="13" fillId="6" borderId="6" xfId="12" applyNumberFormat="1" applyFont="1" applyFill="1" applyBorder="1" applyAlignment="1">
      <alignment horizontal="center" vertical="center" wrapText="1"/>
    </xf>
    <xf numFmtId="0" fontId="13" fillId="6" borderId="8" xfId="12" applyFont="1" applyFill="1" applyBorder="1" applyAlignment="1">
      <alignment horizontal="center" vertical="center"/>
    </xf>
    <xf numFmtId="0" fontId="13" fillId="6" borderId="4" xfId="12" quotePrefix="1" applyFont="1" applyFill="1" applyBorder="1" applyAlignment="1">
      <alignment horizontal="center" vertical="center" wrapText="1"/>
    </xf>
    <xf numFmtId="0" fontId="13" fillId="6" borderId="6" xfId="12" quotePrefix="1" applyFont="1" applyFill="1" applyBorder="1" applyAlignment="1">
      <alignment horizontal="center" vertical="center" wrapText="1"/>
    </xf>
    <xf numFmtId="0" fontId="13" fillId="5" borderId="8" xfId="12" applyFont="1" applyFill="1" applyBorder="1" applyAlignment="1">
      <alignment horizontal="center"/>
    </xf>
    <xf numFmtId="0" fontId="43" fillId="5" borderId="18" xfId="25" applyFont="1" applyFill="1" applyBorder="1" applyAlignment="1">
      <alignment horizontal="left"/>
    </xf>
    <xf numFmtId="1" fontId="45" fillId="5" borderId="4" xfId="12" applyNumberFormat="1" applyFont="1" applyFill="1" applyBorder="1"/>
    <xf numFmtId="1" fontId="45" fillId="5" borderId="6" xfId="12" applyNumberFormat="1" applyFont="1" applyFill="1" applyBorder="1"/>
    <xf numFmtId="0" fontId="65" fillId="5" borderId="8" xfId="12" applyFont="1" applyFill="1" applyBorder="1" applyAlignment="1">
      <alignment horizontal="center"/>
    </xf>
    <xf numFmtId="0" fontId="13" fillId="5" borderId="4" xfId="12" applyFont="1" applyFill="1" applyBorder="1" applyAlignment="1">
      <alignment vertical="top" wrapText="1"/>
    </xf>
    <xf numFmtId="0" fontId="13" fillId="14" borderId="8" xfId="12" applyFont="1" applyFill="1" applyBorder="1" applyAlignment="1">
      <alignment horizontal="center"/>
    </xf>
    <xf numFmtId="0" fontId="13" fillId="14" borderId="4" xfId="12" applyFont="1" applyFill="1" applyBorder="1" applyAlignment="1">
      <alignment vertical="top" wrapText="1"/>
    </xf>
    <xf numFmtId="1" fontId="13" fillId="14" borderId="4" xfId="12" applyNumberFormat="1" applyFont="1" applyFill="1" applyBorder="1"/>
    <xf numFmtId="1" fontId="13" fillId="14" borderId="6" xfId="12" applyNumberFormat="1" applyFont="1" applyFill="1" applyBorder="1"/>
    <xf numFmtId="0" fontId="45" fillId="5" borderId="4" xfId="12" applyFont="1" applyFill="1" applyBorder="1" applyAlignment="1" applyProtection="1">
      <alignment vertical="top" wrapText="1"/>
    </xf>
    <xf numFmtId="0" fontId="45" fillId="5" borderId="4" xfId="12" applyFont="1" applyFill="1" applyBorder="1" applyAlignment="1" applyProtection="1">
      <alignment horizontal="left" vertical="top" wrapText="1"/>
    </xf>
    <xf numFmtId="0" fontId="13" fillId="14" borderId="15" xfId="12" applyFont="1" applyFill="1" applyBorder="1" applyAlignment="1">
      <alignment horizontal="center"/>
    </xf>
    <xf numFmtId="0" fontId="13" fillId="14" borderId="13" xfId="12" applyFont="1" applyFill="1" applyBorder="1" applyAlignment="1" applyProtection="1">
      <alignment vertical="top" wrapText="1"/>
    </xf>
    <xf numFmtId="0" fontId="13" fillId="14" borderId="13" xfId="12" applyFont="1" applyFill="1" applyBorder="1"/>
    <xf numFmtId="2" fontId="13" fillId="14" borderId="13" xfId="12" applyNumberFormat="1" applyFont="1" applyFill="1" applyBorder="1"/>
    <xf numFmtId="2" fontId="13" fillId="14" borderId="14" xfId="12" applyNumberFormat="1" applyFont="1" applyFill="1" applyBorder="1"/>
    <xf numFmtId="0" fontId="21" fillId="5" borderId="0" xfId="0" applyFont="1" applyFill="1" applyBorder="1"/>
    <xf numFmtId="0" fontId="13" fillId="10" borderId="16" xfId="12" applyFont="1" applyFill="1" applyBorder="1" applyAlignment="1">
      <alignment horizontal="center" vertical="center" wrapText="1"/>
    </xf>
    <xf numFmtId="0" fontId="13" fillId="10" borderId="9" xfId="12" applyFont="1" applyFill="1" applyBorder="1" applyAlignment="1">
      <alignment horizontal="center" vertical="center"/>
    </xf>
    <xf numFmtId="0" fontId="13" fillId="10" borderId="9" xfId="21" applyFont="1" applyFill="1" applyBorder="1" applyAlignment="1">
      <alignment horizontal="center" vertical="center" wrapText="1"/>
    </xf>
    <xf numFmtId="0" fontId="13" fillId="10" borderId="12" xfId="21" applyFont="1" applyFill="1" applyBorder="1" applyAlignment="1">
      <alignment horizontal="center" vertical="center"/>
    </xf>
    <xf numFmtId="0" fontId="13" fillId="10" borderId="15" xfId="12" quotePrefix="1" applyFont="1" applyFill="1" applyBorder="1" applyAlignment="1">
      <alignment horizontal="center" vertical="top" wrapText="1"/>
    </xf>
    <xf numFmtId="0" fontId="13" fillId="10" borderId="13" xfId="12" quotePrefix="1" applyFont="1" applyFill="1" applyBorder="1" applyAlignment="1">
      <alignment horizontal="center" vertical="top" wrapText="1"/>
    </xf>
    <xf numFmtId="0" fontId="13" fillId="10" borderId="13" xfId="21" applyFont="1" applyFill="1" applyBorder="1" applyAlignment="1">
      <alignment horizontal="center" vertical="center"/>
    </xf>
    <xf numFmtId="0" fontId="13" fillId="10" borderId="14" xfId="12" quotePrefix="1" applyFont="1" applyFill="1" applyBorder="1" applyAlignment="1">
      <alignment horizontal="center" vertical="top" wrapText="1"/>
    </xf>
    <xf numFmtId="0" fontId="45" fillId="5" borderId="17" xfId="12" applyFont="1" applyFill="1" applyBorder="1" applyAlignment="1">
      <alignment horizontal="center" vertical="center"/>
    </xf>
    <xf numFmtId="0" fontId="45" fillId="5" borderId="18" xfId="12" applyFont="1" applyFill="1" applyBorder="1" applyAlignment="1" applyProtection="1">
      <alignment vertical="top" wrapText="1"/>
    </xf>
    <xf numFmtId="43" fontId="45" fillId="5" borderId="18" xfId="21" applyNumberFormat="1" applyFont="1" applyFill="1" applyBorder="1">
      <alignment vertical="center"/>
    </xf>
    <xf numFmtId="0" fontId="45" fillId="5" borderId="19" xfId="21" applyFont="1" applyFill="1" applyBorder="1">
      <alignment vertical="center"/>
    </xf>
    <xf numFmtId="0" fontId="45" fillId="5" borderId="8" xfId="12" applyFont="1" applyFill="1" applyBorder="1" applyAlignment="1">
      <alignment horizontal="center" vertical="center"/>
    </xf>
    <xf numFmtId="167" fontId="45" fillId="5" borderId="4" xfId="29" applyNumberFormat="1" applyFont="1" applyFill="1" applyBorder="1" applyAlignment="1">
      <alignment vertical="center"/>
    </xf>
    <xf numFmtId="43" fontId="45" fillId="5" borderId="4" xfId="21" applyNumberFormat="1" applyFont="1" applyFill="1" applyBorder="1">
      <alignment vertical="center"/>
    </xf>
    <xf numFmtId="0" fontId="45" fillId="5" borderId="6" xfId="21" applyFont="1" applyFill="1" applyBorder="1">
      <alignment vertical="center"/>
    </xf>
    <xf numFmtId="0" fontId="45" fillId="10" borderId="8" xfId="12" applyFont="1" applyFill="1" applyBorder="1" applyAlignment="1">
      <alignment horizontal="center" vertical="center"/>
    </xf>
    <xf numFmtId="0" fontId="13" fillId="10" borderId="4" xfId="12" applyFont="1" applyFill="1" applyBorder="1" applyAlignment="1" applyProtection="1">
      <alignment horizontal="left" vertical="top" wrapText="1"/>
    </xf>
    <xf numFmtId="167" fontId="13" fillId="10" borderId="4" xfId="21" applyNumberFormat="1" applyFont="1" applyFill="1" applyBorder="1">
      <alignment vertical="center"/>
    </xf>
    <xf numFmtId="43" fontId="13" fillId="10" borderId="4" xfId="21" applyNumberFormat="1" applyFont="1" applyFill="1" applyBorder="1">
      <alignment vertical="center"/>
    </xf>
    <xf numFmtId="0" fontId="45" fillId="10" borderId="6" xfId="21" applyFont="1" applyFill="1" applyBorder="1">
      <alignment vertical="center"/>
    </xf>
    <xf numFmtId="0" fontId="45" fillId="5" borderId="4" xfId="12" applyFont="1" applyFill="1" applyBorder="1" applyAlignment="1">
      <alignment vertical="top" wrapText="1"/>
    </xf>
    <xf numFmtId="43" fontId="13" fillId="10" borderId="4" xfId="29" applyFont="1" applyFill="1" applyBorder="1" applyAlignment="1">
      <alignment vertical="center"/>
    </xf>
    <xf numFmtId="43" fontId="45" fillId="5" borderId="4" xfId="29" applyFont="1" applyFill="1" applyBorder="1" applyAlignment="1">
      <alignment vertical="center"/>
    </xf>
    <xf numFmtId="0" fontId="45" fillId="10" borderId="8" xfId="12" applyFont="1" applyFill="1" applyBorder="1" applyAlignment="1">
      <alignment horizontal="center" vertical="top"/>
    </xf>
    <xf numFmtId="0" fontId="45" fillId="10" borderId="15" xfId="12" applyFont="1" applyFill="1" applyBorder="1" applyAlignment="1">
      <alignment horizontal="center"/>
    </xf>
    <xf numFmtId="0" fontId="13" fillId="10" borderId="13" xfId="12" applyFont="1" applyFill="1" applyBorder="1" applyProtection="1"/>
    <xf numFmtId="43" fontId="13" fillId="10" borderId="13" xfId="21" applyNumberFormat="1" applyFont="1" applyFill="1" applyBorder="1">
      <alignment vertical="center"/>
    </xf>
    <xf numFmtId="0" fontId="45" fillId="10" borderId="14" xfId="21" applyFont="1" applyFill="1" applyBorder="1">
      <alignment vertical="center"/>
    </xf>
    <xf numFmtId="0" fontId="14" fillId="5" borderId="34" xfId="0" applyFont="1" applyFill="1" applyBorder="1" applyAlignment="1">
      <alignment horizontal="right"/>
    </xf>
    <xf numFmtId="0" fontId="63" fillId="14" borderId="4" xfId="0" applyFont="1" applyFill="1" applyBorder="1" applyAlignment="1">
      <alignment horizontal="center" vertical="center"/>
    </xf>
    <xf numFmtId="0" fontId="63" fillId="14" borderId="4" xfId="0" applyFont="1" applyFill="1" applyBorder="1" applyAlignment="1">
      <alignment horizontal="center" vertical="center" wrapText="1"/>
    </xf>
    <xf numFmtId="0" fontId="63" fillId="14" borderId="15" xfId="0" applyFont="1" applyFill="1" applyBorder="1" applyAlignment="1">
      <alignment horizontal="center" vertical="center"/>
    </xf>
    <xf numFmtId="0" fontId="63" fillId="14" borderId="13" xfId="0" applyFont="1" applyFill="1" applyBorder="1" applyAlignment="1">
      <alignment horizontal="center" vertical="center"/>
    </xf>
    <xf numFmtId="0" fontId="63" fillId="14" borderId="14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/>
    </xf>
    <xf numFmtId="0" fontId="63" fillId="4" borderId="18" xfId="0" applyFont="1" applyFill="1" applyBorder="1" applyAlignment="1">
      <alignment wrapText="1"/>
    </xf>
    <xf numFmtId="0" fontId="57" fillId="5" borderId="18" xfId="0" applyFont="1" applyFill="1" applyBorder="1"/>
    <xf numFmtId="0" fontId="57" fillId="5" borderId="19" xfId="0" applyFont="1" applyFill="1" applyBorder="1"/>
    <xf numFmtId="0" fontId="57" fillId="0" borderId="8" xfId="0" applyFont="1" applyFill="1" applyBorder="1" applyAlignment="1">
      <alignment horizontal="center"/>
    </xf>
    <xf numFmtId="0" fontId="57" fillId="4" borderId="4" xfId="0" applyFont="1" applyFill="1" applyBorder="1" applyAlignment="1">
      <alignment wrapText="1"/>
    </xf>
    <xf numFmtId="0" fontId="57" fillId="0" borderId="4" xfId="0" applyFont="1" applyFill="1" applyBorder="1" applyAlignment="1">
      <alignment horizontal="center"/>
    </xf>
    <xf numFmtId="2" fontId="57" fillId="5" borderId="4" xfId="0" applyNumberFormat="1" applyFont="1" applyFill="1" applyBorder="1"/>
    <xf numFmtId="0" fontId="57" fillId="5" borderId="4" xfId="0" applyFont="1" applyFill="1" applyBorder="1"/>
    <xf numFmtId="0" fontId="57" fillId="5" borderId="6" xfId="0" applyFont="1" applyFill="1" applyBorder="1"/>
    <xf numFmtId="2" fontId="57" fillId="0" borderId="8" xfId="0" applyNumberFormat="1" applyFont="1" applyFill="1" applyBorder="1" applyAlignment="1">
      <alignment horizontal="center"/>
    </xf>
    <xf numFmtId="2" fontId="57" fillId="4" borderId="4" xfId="0" applyNumberFormat="1" applyFont="1" applyFill="1" applyBorder="1" applyAlignment="1">
      <alignment wrapText="1"/>
    </xf>
    <xf numFmtId="2" fontId="57" fillId="0" borderId="4" xfId="0" applyNumberFormat="1" applyFont="1" applyFill="1" applyBorder="1" applyAlignment="1">
      <alignment horizontal="center"/>
    </xf>
    <xf numFmtId="2" fontId="63" fillId="5" borderId="4" xfId="0" applyNumberFormat="1" applyFont="1" applyFill="1" applyBorder="1"/>
    <xf numFmtId="0" fontId="63" fillId="4" borderId="4" xfId="0" applyFont="1" applyFill="1" applyBorder="1" applyAlignment="1">
      <alignment wrapText="1"/>
    </xf>
    <xf numFmtId="0" fontId="57" fillId="4" borderId="4" xfId="0" applyFont="1" applyFill="1" applyBorder="1" applyAlignment="1">
      <alignment horizontal="right" wrapText="1"/>
    </xf>
    <xf numFmtId="0" fontId="57" fillId="14" borderId="8" xfId="0" applyFont="1" applyFill="1" applyBorder="1" applyAlignment="1">
      <alignment horizontal="center"/>
    </xf>
    <xf numFmtId="0" fontId="63" fillId="14" borderId="4" xfId="0" applyFont="1" applyFill="1" applyBorder="1" applyAlignment="1">
      <alignment wrapText="1"/>
    </xf>
    <xf numFmtId="0" fontId="63" fillId="14" borderId="4" xfId="0" applyFont="1" applyFill="1" applyBorder="1" applyAlignment="1">
      <alignment horizontal="center"/>
    </xf>
    <xf numFmtId="2" fontId="63" fillId="14" borderId="4" xfId="0" applyNumberFormat="1" applyFont="1" applyFill="1" applyBorder="1"/>
    <xf numFmtId="0" fontId="57" fillId="14" borderId="6" xfId="0" applyFont="1" applyFill="1" applyBorder="1"/>
    <xf numFmtId="0" fontId="63" fillId="4" borderId="4" xfId="0" applyFont="1" applyFill="1" applyBorder="1" applyAlignment="1">
      <alignment horizontal="left" vertical="center" wrapText="1"/>
    </xf>
    <xf numFmtId="0" fontId="57" fillId="14" borderId="15" xfId="0" applyFont="1" applyFill="1" applyBorder="1" applyAlignment="1">
      <alignment horizontal="center"/>
    </xf>
    <xf numFmtId="0" fontId="63" fillId="14" borderId="13" xfId="0" applyFont="1" applyFill="1" applyBorder="1" applyAlignment="1">
      <alignment wrapText="1"/>
    </xf>
    <xf numFmtId="0" fontId="57" fillId="14" borderId="13" xfId="0" applyFont="1" applyFill="1" applyBorder="1"/>
    <xf numFmtId="2" fontId="63" fillId="14" borderId="13" xfId="0" applyNumberFormat="1" applyFont="1" applyFill="1" applyBorder="1"/>
    <xf numFmtId="0" fontId="57" fillId="14" borderId="14" xfId="0" applyFont="1" applyFill="1" applyBorder="1"/>
    <xf numFmtId="0" fontId="13" fillId="5" borderId="34" xfId="0" applyFont="1" applyFill="1" applyBorder="1" applyAlignment="1">
      <alignment horizontal="right"/>
    </xf>
    <xf numFmtId="0" fontId="45" fillId="0" borderId="17" xfId="0" applyFont="1" applyFill="1" applyBorder="1" applyAlignment="1">
      <alignment horizontal="center"/>
    </xf>
    <xf numFmtId="0" fontId="13" fillId="0" borderId="18" xfId="0" applyFont="1" applyBorder="1" applyAlignment="1"/>
    <xf numFmtId="0" fontId="45" fillId="0" borderId="18" xfId="0" applyFont="1" applyFill="1" applyBorder="1" applyAlignment="1">
      <alignment horizontal="center"/>
    </xf>
    <xf numFmtId="0" fontId="45" fillId="5" borderId="18" xfId="0" applyNumberFormat="1" applyFont="1" applyFill="1" applyBorder="1"/>
    <xf numFmtId="0" fontId="45" fillId="5" borderId="19" xfId="0" applyNumberFormat="1" applyFont="1" applyFill="1" applyBorder="1"/>
    <xf numFmtId="0" fontId="13" fillId="0" borderId="8" xfId="0" applyFont="1" applyFill="1" applyBorder="1" applyAlignment="1">
      <alignment horizontal="center"/>
    </xf>
    <xf numFmtId="0" fontId="13" fillId="0" borderId="4" xfId="0" applyFont="1" applyBorder="1" applyAlignment="1">
      <alignment wrapText="1"/>
    </xf>
    <xf numFmtId="0" fontId="13" fillId="0" borderId="4" xfId="0" applyFont="1" applyFill="1" applyBorder="1" applyAlignment="1">
      <alignment horizontal="center"/>
    </xf>
    <xf numFmtId="0" fontId="13" fillId="5" borderId="4" xfId="0" applyNumberFormat="1" applyFont="1" applyFill="1" applyBorder="1"/>
    <xf numFmtId="0" fontId="13" fillId="5" borderId="6" xfId="0" applyNumberFormat="1" applyFont="1" applyFill="1" applyBorder="1"/>
    <xf numFmtId="0" fontId="45" fillId="0" borderId="8" xfId="0" applyFont="1" applyFill="1" applyBorder="1" applyAlignment="1">
      <alignment horizontal="center"/>
    </xf>
    <xf numFmtId="0" fontId="45" fillId="0" borderId="4" xfId="0" applyFont="1" applyBorder="1" applyAlignment="1">
      <alignment wrapText="1"/>
    </xf>
    <xf numFmtId="0" fontId="45" fillId="0" borderId="4" xfId="0" applyFont="1" applyFill="1" applyBorder="1" applyAlignment="1">
      <alignment horizontal="center"/>
    </xf>
    <xf numFmtId="0" fontId="45" fillId="5" borderId="6" xfId="0" applyNumberFormat="1" applyFont="1" applyFill="1" applyBorder="1"/>
    <xf numFmtId="0" fontId="45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 wrapText="1"/>
    </xf>
    <xf numFmtId="0" fontId="45" fillId="14" borderId="8" xfId="0" applyFont="1" applyFill="1" applyBorder="1" applyAlignment="1">
      <alignment horizontal="center"/>
    </xf>
    <xf numFmtId="0" fontId="13" fillId="14" borderId="4" xfId="0" applyFont="1" applyFill="1" applyBorder="1" applyAlignment="1">
      <alignment horizontal="left" vertical="center" wrapText="1"/>
    </xf>
    <xf numFmtId="0" fontId="45" fillId="14" borderId="4" xfId="0" applyFont="1" applyFill="1" applyBorder="1" applyAlignment="1">
      <alignment horizontal="center"/>
    </xf>
    <xf numFmtId="0" fontId="45" fillId="14" borderId="6" xfId="0" applyNumberFormat="1" applyFont="1" applyFill="1" applyBorder="1"/>
    <xf numFmtId="0" fontId="13" fillId="0" borderId="4" xfId="0" applyFont="1" applyBorder="1" applyAlignment="1">
      <alignment vertical="center"/>
    </xf>
    <xf numFmtId="0" fontId="45" fillId="0" borderId="4" xfId="0" applyFont="1" applyBorder="1" applyAlignment="1">
      <alignment horizontal="left" wrapText="1"/>
    </xf>
    <xf numFmtId="0" fontId="45" fillId="0" borderId="4" xfId="0" applyFont="1" applyBorder="1" applyAlignment="1">
      <alignment horizontal="right" wrapText="1"/>
    </xf>
    <xf numFmtId="0" fontId="13" fillId="10" borderId="4" xfId="0" applyFont="1" applyFill="1" applyBorder="1" applyAlignment="1">
      <alignment wrapText="1"/>
    </xf>
    <xf numFmtId="0" fontId="45" fillId="10" borderId="6" xfId="0" applyNumberFormat="1" applyFont="1" applyFill="1" applyBorder="1"/>
    <xf numFmtId="0" fontId="45" fillId="10" borderId="4" xfId="0" applyFont="1" applyFill="1" applyBorder="1" applyAlignment="1">
      <alignment wrapText="1"/>
    </xf>
    <xf numFmtId="0" fontId="45" fillId="10" borderId="15" xfId="0" applyFont="1" applyFill="1" applyBorder="1" applyAlignment="1">
      <alignment horizontal="center"/>
    </xf>
    <xf numFmtId="0" fontId="13" fillId="10" borderId="13" xfId="0" applyFont="1" applyFill="1" applyBorder="1" applyAlignment="1">
      <alignment wrapText="1"/>
    </xf>
    <xf numFmtId="0" fontId="45" fillId="10" borderId="14" xfId="0" applyNumberFormat="1" applyFont="1" applyFill="1" applyBorder="1"/>
    <xf numFmtId="167" fontId="45" fillId="5" borderId="4" xfId="29" applyNumberFormat="1" applyFont="1" applyFill="1" applyBorder="1"/>
    <xf numFmtId="167" fontId="13" fillId="5" borderId="4" xfId="29" applyNumberFormat="1" applyFont="1" applyFill="1" applyBorder="1"/>
    <xf numFmtId="167" fontId="13" fillId="14" borderId="4" xfId="29" applyNumberFormat="1" applyFont="1" applyFill="1" applyBorder="1"/>
    <xf numFmtId="167" fontId="13" fillId="10" borderId="4" xfId="29" applyNumberFormat="1" applyFont="1" applyFill="1" applyBorder="1"/>
    <xf numFmtId="167" fontId="13" fillId="10" borderId="13" xfId="29" applyNumberFormat="1" applyFont="1" applyFill="1" applyBorder="1"/>
    <xf numFmtId="1" fontId="43" fillId="5" borderId="4" xfId="12" applyNumberFormat="1" applyFont="1" applyFill="1" applyBorder="1"/>
    <xf numFmtId="1" fontId="43" fillId="5" borderId="6" xfId="12" applyNumberFormat="1" applyFont="1" applyFill="1" applyBorder="1"/>
    <xf numFmtId="0" fontId="67" fillId="5" borderId="0" xfId="12" applyFont="1" applyFill="1" applyBorder="1"/>
    <xf numFmtId="0" fontId="67" fillId="5" borderId="0" xfId="12" applyFont="1" applyFill="1" applyBorder="1" applyAlignment="1"/>
    <xf numFmtId="0" fontId="67" fillId="5" borderId="0" xfId="12" applyFont="1" applyFill="1" applyBorder="1" applyAlignment="1">
      <alignment vertical="top"/>
    </xf>
    <xf numFmtId="0" fontId="68" fillId="5" borderId="0" xfId="12" applyFont="1" applyFill="1" applyBorder="1"/>
    <xf numFmtId="0" fontId="67" fillId="5" borderId="0" xfId="12" applyFont="1" applyFill="1"/>
    <xf numFmtId="0" fontId="13" fillId="5" borderId="0" xfId="12" applyFont="1" applyFill="1" applyBorder="1"/>
    <xf numFmtId="0" fontId="42" fillId="5" borderId="8" xfId="12" applyFont="1" applyFill="1" applyBorder="1" applyAlignment="1">
      <alignment horizontal="center"/>
    </xf>
    <xf numFmtId="0" fontId="43" fillId="5" borderId="18" xfId="34" applyFont="1" applyFill="1" applyBorder="1" applyAlignment="1">
      <alignment horizontal="left"/>
    </xf>
    <xf numFmtId="2" fontId="13" fillId="5" borderId="4" xfId="12" applyNumberFormat="1" applyFont="1" applyFill="1" applyBorder="1"/>
    <xf numFmtId="2" fontId="13" fillId="5" borderId="6" xfId="12" applyNumberFormat="1" applyFont="1" applyFill="1" applyBorder="1"/>
    <xf numFmtId="0" fontId="13" fillId="14" borderId="8" xfId="12" applyFont="1" applyFill="1" applyBorder="1" applyAlignment="1">
      <alignment vertical="top" wrapText="1"/>
    </xf>
    <xf numFmtId="0" fontId="13" fillId="6" borderId="16" xfId="12" applyFont="1" applyFill="1" applyBorder="1" applyAlignment="1">
      <alignment horizontal="center" vertical="center" wrapText="1"/>
    </xf>
    <xf numFmtId="0" fontId="13" fillId="6" borderId="9" xfId="12" applyFont="1" applyFill="1" applyBorder="1" applyAlignment="1">
      <alignment horizontal="center" vertical="center" wrapText="1"/>
    </xf>
    <xf numFmtId="16" fontId="13" fillId="6" borderId="9" xfId="12" applyNumberFormat="1" applyFont="1" applyFill="1" applyBorder="1" applyAlignment="1">
      <alignment horizontal="center" vertical="center" wrapText="1"/>
    </xf>
    <xf numFmtId="16" fontId="13" fillId="6" borderId="12" xfId="12" applyNumberFormat="1" applyFont="1" applyFill="1" applyBorder="1" applyAlignment="1">
      <alignment horizontal="center" vertical="center" wrapText="1"/>
    </xf>
    <xf numFmtId="0" fontId="13" fillId="5" borderId="8" xfId="12" applyFont="1" applyFill="1" applyBorder="1"/>
    <xf numFmtId="0" fontId="43" fillId="5" borderId="4" xfId="34" applyFont="1" applyFill="1" applyBorder="1" applyAlignment="1">
      <alignment horizontal="left"/>
    </xf>
    <xf numFmtId="2" fontId="45" fillId="5" borderId="6" xfId="12" applyNumberFormat="1" applyFont="1" applyFill="1" applyBorder="1"/>
    <xf numFmtId="43" fontId="45" fillId="5" borderId="6" xfId="29" applyFont="1" applyFill="1" applyBorder="1" applyAlignment="1">
      <alignment horizontal="center" vertical="center"/>
    </xf>
    <xf numFmtId="43" fontId="13" fillId="10" borderId="43" xfId="29" applyFont="1" applyFill="1" applyBorder="1" applyAlignment="1">
      <alignment vertical="center"/>
    </xf>
    <xf numFmtId="43" fontId="13" fillId="10" borderId="43" xfId="29" applyFont="1" applyFill="1" applyBorder="1" applyAlignment="1">
      <alignment horizontal="center" vertical="center"/>
    </xf>
    <xf numFmtId="167" fontId="43" fillId="0" borderId="4" xfId="29" applyNumberFormat="1" applyFont="1" applyFill="1" applyBorder="1" applyAlignment="1">
      <alignment horizontal="center" vertical="center"/>
    </xf>
    <xf numFmtId="167" fontId="42" fillId="0" borderId="4" xfId="29" applyNumberFormat="1" applyFont="1" applyFill="1" applyBorder="1" applyAlignment="1">
      <alignment horizontal="center" vertical="center"/>
    </xf>
    <xf numFmtId="0" fontId="42" fillId="0" borderId="6" xfId="15" applyFont="1" applyFill="1" applyBorder="1" applyAlignment="1">
      <alignment horizontal="center" vertical="center"/>
    </xf>
    <xf numFmtId="0" fontId="45" fillId="0" borderId="4" xfId="27" applyFont="1" applyFill="1" applyBorder="1"/>
    <xf numFmtId="43" fontId="45" fillId="0" borderId="6" xfId="29" applyFont="1" applyFill="1" applyBorder="1"/>
    <xf numFmtId="10" fontId="45" fillId="0" borderId="13" xfId="33" applyNumberFormat="1" applyFont="1" applyFill="1" applyBorder="1"/>
    <xf numFmtId="43" fontId="56" fillId="0" borderId="0" xfId="29" applyFont="1" applyFill="1" applyBorder="1" applyAlignment="1">
      <alignment vertical="center"/>
    </xf>
    <xf numFmtId="43" fontId="56" fillId="0" borderId="4" xfId="29" applyFont="1" applyFill="1" applyBorder="1"/>
    <xf numFmtId="2" fontId="58" fillId="0" borderId="4" xfId="28" applyNumberFormat="1" applyFont="1" applyFill="1" applyBorder="1">
      <alignment vertical="center"/>
    </xf>
    <xf numFmtId="0" fontId="57" fillId="0" borderId="46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center" vertical="center"/>
    </xf>
    <xf numFmtId="43" fontId="57" fillId="0" borderId="7" xfId="29" applyFont="1" applyFill="1" applyBorder="1" applyAlignment="1">
      <alignment horizontal="right" vertical="center"/>
    </xf>
    <xf numFmtId="10" fontId="45" fillId="0" borderId="18" xfId="33" applyNumberFormat="1" applyFont="1" applyFill="1" applyBorder="1"/>
    <xf numFmtId="2" fontId="57" fillId="0" borderId="4" xfId="0" applyNumberFormat="1" applyFont="1" applyFill="1" applyBorder="1"/>
    <xf numFmtId="43" fontId="63" fillId="0" borderId="0" xfId="30" applyNumberFormat="1" applyFont="1" applyFill="1" applyBorder="1"/>
    <xf numFmtId="0" fontId="48" fillId="0" borderId="0" xfId="0" applyFont="1" applyFill="1"/>
    <xf numFmtId="0" fontId="63" fillId="0" borderId="0" xfId="35" applyFont="1" applyFill="1" applyAlignment="1">
      <alignment horizontal="right"/>
    </xf>
    <xf numFmtId="0" fontId="63" fillId="0" borderId="0" xfId="36" applyFont="1" applyFill="1" applyAlignment="1">
      <alignment horizontal="right"/>
    </xf>
    <xf numFmtId="2" fontId="0" fillId="0" borderId="0" xfId="0" applyNumberFormat="1" applyFill="1"/>
    <xf numFmtId="0" fontId="63" fillId="0" borderId="0" xfId="36" applyFont="1" applyFill="1" applyAlignment="1"/>
    <xf numFmtId="0" fontId="5" fillId="0" borderId="0" xfId="37" applyFill="1"/>
    <xf numFmtId="43" fontId="6" fillId="0" borderId="0" xfId="30" applyNumberFormat="1" applyFont="1" applyFill="1" applyBorder="1" applyAlignment="1">
      <alignment horizontal="right"/>
    </xf>
    <xf numFmtId="0" fontId="63" fillId="0" borderId="0" xfId="0" applyFont="1" applyFill="1" applyBorder="1"/>
    <xf numFmtId="43" fontId="6" fillId="0" borderId="0" xfId="0" applyNumberFormat="1" applyFont="1" applyFill="1" applyAlignment="1">
      <alignment horizontal="right"/>
    </xf>
    <xf numFmtId="43" fontId="6" fillId="0" borderId="0" xfId="30" applyNumberFormat="1" applyFont="1" applyFill="1" applyBorder="1"/>
    <xf numFmtId="43" fontId="14" fillId="0" borderId="0" xfId="30" applyNumberFormat="1" applyFont="1" applyFill="1" applyBorder="1" applyAlignment="1">
      <alignment horizontal="right"/>
    </xf>
    <xf numFmtId="14" fontId="6" fillId="0" borderId="0" xfId="30" applyNumberFormat="1" applyFont="1" applyFill="1" applyBorder="1"/>
    <xf numFmtId="43" fontId="14" fillId="0" borderId="0" xfId="30" applyNumberFormat="1" applyFont="1" applyFill="1" applyBorder="1" applyAlignment="1"/>
    <xf numFmtId="43" fontId="5" fillId="0" borderId="0" xfId="30" applyNumberFormat="1" applyFont="1" applyFill="1" applyBorder="1"/>
    <xf numFmtId="43" fontId="70" fillId="0" borderId="0" xfId="30" applyNumberFormat="1" applyFont="1" applyFill="1" applyBorder="1" applyAlignment="1">
      <alignment horizontal="left"/>
    </xf>
    <xf numFmtId="43" fontId="13" fillId="0" borderId="0" xfId="30" applyNumberFormat="1" applyFont="1" applyFill="1" applyBorder="1"/>
    <xf numFmtId="0" fontId="43" fillId="0" borderId="0" xfId="0" applyFont="1" applyFill="1"/>
    <xf numFmtId="0" fontId="71" fillId="0" borderId="0" xfId="0" applyFont="1" applyFill="1"/>
    <xf numFmtId="0" fontId="13" fillId="0" borderId="0" xfId="35" applyFont="1" applyFill="1" applyAlignment="1">
      <alignment horizontal="right"/>
    </xf>
    <xf numFmtId="0" fontId="13" fillId="0" borderId="0" xfId="36" applyFont="1" applyFill="1" applyAlignment="1">
      <alignment horizontal="right"/>
    </xf>
    <xf numFmtId="2" fontId="71" fillId="0" borderId="0" xfId="0" applyNumberFormat="1" applyFont="1" applyFill="1"/>
    <xf numFmtId="0" fontId="13" fillId="0" borderId="0" xfId="36" applyFont="1" applyFill="1" applyAlignment="1"/>
    <xf numFmtId="0" fontId="72" fillId="0" borderId="0" xfId="37" applyFont="1" applyFill="1"/>
    <xf numFmtId="43" fontId="45" fillId="0" borderId="0" xfId="30" applyNumberFormat="1" applyFont="1" applyFill="1" applyBorder="1" applyAlignment="1">
      <alignment horizontal="right"/>
    </xf>
    <xf numFmtId="0" fontId="13" fillId="0" borderId="0" xfId="0" applyFont="1" applyFill="1" applyBorder="1"/>
    <xf numFmtId="43" fontId="45" fillId="0" borderId="0" xfId="0" applyNumberFormat="1" applyFont="1" applyFill="1" applyAlignment="1">
      <alignment horizontal="right"/>
    </xf>
    <xf numFmtId="43" fontId="45" fillId="0" borderId="0" xfId="30" applyNumberFormat="1" applyFont="1" applyFill="1" applyBorder="1"/>
    <xf numFmtId="43" fontId="13" fillId="0" borderId="0" xfId="30" applyNumberFormat="1" applyFont="1" applyFill="1" applyBorder="1" applyAlignment="1">
      <alignment horizontal="right"/>
    </xf>
    <xf numFmtId="14" fontId="45" fillId="0" borderId="0" xfId="30" applyNumberFormat="1" applyFont="1" applyFill="1" applyBorder="1"/>
    <xf numFmtId="43" fontId="72" fillId="0" borderId="0" xfId="30" applyNumberFormat="1" applyFont="1" applyFill="1" applyBorder="1"/>
    <xf numFmtId="43" fontId="10" fillId="0" borderId="0" xfId="30" applyNumberFormat="1" applyFont="1" applyFill="1" applyBorder="1" applyAlignment="1">
      <alignment horizontal="left"/>
    </xf>
    <xf numFmtId="43" fontId="43" fillId="0" borderId="0" xfId="29" applyFont="1"/>
    <xf numFmtId="0" fontId="44" fillId="0" borderId="0" xfId="0" applyFont="1" applyBorder="1" applyAlignment="1">
      <alignment horizontal="center"/>
    </xf>
    <xf numFmtId="1" fontId="4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18" fillId="7" borderId="35" xfId="0" applyFont="1" applyFill="1" applyBorder="1" applyAlignment="1">
      <alignment horizontal="center"/>
    </xf>
    <xf numFmtId="0" fontId="18" fillId="7" borderId="22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13" fillId="10" borderId="28" xfId="1" applyFont="1" applyFill="1" applyBorder="1" applyAlignment="1">
      <alignment horizontal="center"/>
    </xf>
    <xf numFmtId="0" fontId="13" fillId="10" borderId="31" xfId="1" applyFont="1" applyFill="1" applyBorder="1" applyAlignment="1">
      <alignment horizontal="center"/>
    </xf>
    <xf numFmtId="0" fontId="13" fillId="10" borderId="45" xfId="1" applyFont="1" applyFill="1" applyBorder="1" applyAlignment="1">
      <alignment horizontal="center"/>
    </xf>
    <xf numFmtId="0" fontId="45" fillId="4" borderId="41" xfId="1" applyFont="1" applyFill="1" applyBorder="1" applyAlignment="1">
      <alignment horizontal="center"/>
    </xf>
    <xf numFmtId="0" fontId="45" fillId="4" borderId="42" xfId="1" applyFont="1" applyFill="1" applyBorder="1" applyAlignment="1">
      <alignment horizontal="center"/>
    </xf>
    <xf numFmtId="0" fontId="45" fillId="4" borderId="43" xfId="1" applyFont="1" applyFill="1" applyBorder="1" applyAlignment="1">
      <alignment horizontal="center"/>
    </xf>
    <xf numFmtId="0" fontId="45" fillId="4" borderId="32" xfId="1" applyFont="1" applyFill="1" applyBorder="1" applyAlignment="1">
      <alignment horizontal="right"/>
    </xf>
    <xf numFmtId="0" fontId="45" fillId="4" borderId="29" xfId="1" applyFont="1" applyFill="1" applyBorder="1" applyAlignment="1">
      <alignment horizontal="right"/>
    </xf>
    <xf numFmtId="0" fontId="45" fillId="4" borderId="30" xfId="1" applyFont="1" applyFill="1" applyBorder="1" applyAlignment="1">
      <alignment horizontal="right"/>
    </xf>
    <xf numFmtId="0" fontId="13" fillId="6" borderId="16" xfId="21" applyFont="1" applyFill="1" applyBorder="1" applyAlignment="1">
      <alignment horizontal="center" vertical="center" wrapText="1"/>
    </xf>
    <xf numFmtId="0" fontId="45" fillId="0" borderId="8" xfId="1" applyFont="1" applyBorder="1" applyAlignment="1">
      <alignment horizontal="center"/>
    </xf>
    <xf numFmtId="0" fontId="13" fillId="6" borderId="9" xfId="21" applyFont="1" applyFill="1" applyBorder="1" applyAlignment="1">
      <alignment horizontal="center" vertical="center"/>
    </xf>
    <xf numFmtId="0" fontId="45" fillId="0" borderId="4" xfId="1" applyFont="1" applyBorder="1"/>
    <xf numFmtId="0" fontId="13" fillId="6" borderId="9" xfId="21" applyFont="1" applyFill="1" applyBorder="1" applyAlignment="1">
      <alignment horizontal="center" vertical="center" wrapText="1"/>
    </xf>
    <xf numFmtId="0" fontId="42" fillId="11" borderId="25" xfId="0" applyFont="1" applyFill="1" applyBorder="1" applyAlignment="1">
      <alignment horizontal="center"/>
    </xf>
    <xf numFmtId="0" fontId="42" fillId="11" borderId="2" xfId="0" applyFont="1" applyFill="1" applyBorder="1" applyAlignment="1">
      <alignment horizontal="center"/>
    </xf>
    <xf numFmtId="0" fontId="42" fillId="11" borderId="26" xfId="0" applyFont="1" applyFill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34" xfId="0" applyFont="1" applyBorder="1" applyAlignment="1">
      <alignment horizontal="center"/>
    </xf>
    <xf numFmtId="0" fontId="13" fillId="9" borderId="35" xfId="0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45" fillId="5" borderId="25" xfId="0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45" fillId="5" borderId="26" xfId="0" applyFont="1" applyFill="1" applyBorder="1" applyAlignment="1">
      <alignment horizontal="center" vertical="center"/>
    </xf>
    <xf numFmtId="0" fontId="45" fillId="5" borderId="38" xfId="0" applyFont="1" applyFill="1" applyBorder="1" applyAlignment="1">
      <alignment horizontal="right" vertical="center"/>
    </xf>
    <xf numFmtId="0" fontId="45" fillId="5" borderId="39" xfId="0" applyFont="1" applyFill="1" applyBorder="1" applyAlignment="1">
      <alignment horizontal="right" vertical="center"/>
    </xf>
    <xf numFmtId="0" fontId="45" fillId="5" borderId="40" xfId="0" applyFont="1" applyFill="1" applyBorder="1" applyAlignment="1">
      <alignment horizontal="right" vertical="center"/>
    </xf>
    <xf numFmtId="0" fontId="13" fillId="10" borderId="16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8" xfId="27" applyFont="1" applyFill="1" applyBorder="1" applyAlignment="1">
      <alignment horizontal="right" vertical="center" wrapText="1"/>
    </xf>
    <xf numFmtId="0" fontId="13" fillId="10" borderId="4" xfId="27" applyFont="1" applyFill="1" applyBorder="1" applyAlignment="1">
      <alignment horizontal="center" vertical="center" wrapText="1"/>
    </xf>
    <xf numFmtId="0" fontId="45" fillId="4" borderId="33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45" fillId="4" borderId="34" xfId="0" applyFont="1" applyFill="1" applyBorder="1" applyAlignment="1">
      <alignment horizontal="center"/>
    </xf>
    <xf numFmtId="0" fontId="13" fillId="11" borderId="35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3" fillId="11" borderId="36" xfId="0" applyFont="1" applyFill="1" applyBorder="1" applyAlignment="1">
      <alignment horizontal="center"/>
    </xf>
    <xf numFmtId="0" fontId="45" fillId="4" borderId="48" xfId="0" applyFont="1" applyFill="1" applyBorder="1" applyAlignment="1">
      <alignment horizontal="right"/>
    </xf>
    <xf numFmtId="0" fontId="45" fillId="4" borderId="5" xfId="0" applyFont="1" applyFill="1" applyBorder="1" applyAlignment="1">
      <alignment horizontal="right"/>
    </xf>
    <xf numFmtId="0" fontId="45" fillId="4" borderId="49" xfId="0" applyFont="1" applyFill="1" applyBorder="1" applyAlignment="1">
      <alignment horizontal="right"/>
    </xf>
    <xf numFmtId="0" fontId="13" fillId="11" borderId="35" xfId="0" applyFont="1" applyFill="1" applyBorder="1" applyAlignment="1">
      <alignment horizontal="center" vertical="center"/>
    </xf>
    <xf numFmtId="0" fontId="13" fillId="11" borderId="22" xfId="0" applyFont="1" applyFill="1" applyBorder="1" applyAlignment="1">
      <alignment horizontal="center" vertical="center"/>
    </xf>
    <xf numFmtId="0" fontId="13" fillId="11" borderId="36" xfId="0" applyFont="1" applyFill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0" fontId="45" fillId="5" borderId="2" xfId="0" applyFont="1" applyFill="1" applyBorder="1" applyAlignment="1">
      <alignment horizontal="center"/>
    </xf>
    <xf numFmtId="0" fontId="45" fillId="5" borderId="26" xfId="0" applyFont="1" applyFill="1" applyBorder="1" applyAlignment="1">
      <alignment horizontal="center"/>
    </xf>
    <xf numFmtId="0" fontId="45" fillId="5" borderId="35" xfId="0" applyFont="1" applyFill="1" applyBorder="1" applyAlignment="1">
      <alignment horizontal="center"/>
    </xf>
    <xf numFmtId="0" fontId="45" fillId="5" borderId="22" xfId="0" applyFont="1" applyFill="1" applyBorder="1" applyAlignment="1">
      <alignment horizontal="center"/>
    </xf>
    <xf numFmtId="0" fontId="45" fillId="5" borderId="36" xfId="0" applyFont="1" applyFill="1" applyBorder="1" applyAlignment="1">
      <alignment horizontal="center"/>
    </xf>
    <xf numFmtId="0" fontId="42" fillId="10" borderId="35" xfId="15" applyFont="1" applyFill="1" applyBorder="1" applyAlignment="1">
      <alignment horizontal="center" wrapText="1"/>
    </xf>
    <xf numFmtId="0" fontId="42" fillId="10" borderId="22" xfId="15" applyFont="1" applyFill="1" applyBorder="1" applyAlignment="1">
      <alignment horizontal="center" wrapText="1"/>
    </xf>
    <xf numFmtId="0" fontId="42" fillId="10" borderId="36" xfId="15" applyFont="1" applyFill="1" applyBorder="1" applyAlignment="1">
      <alignment horizontal="center" wrapText="1"/>
    </xf>
    <xf numFmtId="0" fontId="42" fillId="10" borderId="28" xfId="12" applyFont="1" applyFill="1" applyBorder="1" applyAlignment="1">
      <alignment horizontal="center" vertical="center" wrapText="1"/>
    </xf>
    <xf numFmtId="0" fontId="42" fillId="10" borderId="17" xfId="12" applyFont="1" applyFill="1" applyBorder="1" applyAlignment="1">
      <alignment horizontal="center" vertical="center" wrapText="1"/>
    </xf>
    <xf numFmtId="0" fontId="42" fillId="10" borderId="9" xfId="12" applyFont="1" applyFill="1" applyBorder="1" applyAlignment="1">
      <alignment horizontal="center" vertical="center"/>
    </xf>
    <xf numFmtId="0" fontId="42" fillId="10" borderId="4" xfId="12" applyFont="1" applyFill="1" applyBorder="1" applyAlignment="1">
      <alignment horizontal="center" vertical="center"/>
    </xf>
    <xf numFmtId="0" fontId="45" fillId="5" borderId="25" xfId="0" applyFont="1" applyFill="1" applyBorder="1" applyAlignment="1">
      <alignment horizontal="right"/>
    </xf>
    <xf numFmtId="0" fontId="45" fillId="5" borderId="2" xfId="0" applyFont="1" applyFill="1" applyBorder="1" applyAlignment="1">
      <alignment horizontal="right"/>
    </xf>
    <xf numFmtId="0" fontId="45" fillId="5" borderId="26" xfId="0" applyFont="1" applyFill="1" applyBorder="1" applyAlignment="1">
      <alignment horizontal="right"/>
    </xf>
    <xf numFmtId="0" fontId="42" fillId="10" borderId="17" xfId="15" applyFont="1" applyFill="1" applyBorder="1" applyAlignment="1">
      <alignment horizontal="center" vertical="center" wrapText="1"/>
    </xf>
    <xf numFmtId="0" fontId="42" fillId="10" borderId="8" xfId="15" applyFont="1" applyFill="1" applyBorder="1" applyAlignment="1">
      <alignment horizontal="center" vertical="center" wrapText="1"/>
    </xf>
    <xf numFmtId="0" fontId="42" fillId="10" borderId="18" xfId="15" applyFont="1" applyFill="1" applyBorder="1" applyAlignment="1">
      <alignment horizontal="center" vertical="center"/>
    </xf>
    <xf numFmtId="0" fontId="42" fillId="10" borderId="4" xfId="15" applyFont="1" applyFill="1" applyBorder="1" applyAlignment="1">
      <alignment horizontal="center" vertical="center"/>
    </xf>
    <xf numFmtId="0" fontId="42" fillId="10" borderId="19" xfId="15" applyFont="1" applyFill="1" applyBorder="1" applyAlignment="1">
      <alignment horizontal="center" vertical="center"/>
    </xf>
    <xf numFmtId="0" fontId="42" fillId="10" borderId="6" xfId="15" applyFont="1" applyFill="1" applyBorder="1" applyAlignment="1">
      <alignment horizontal="center" vertical="center"/>
    </xf>
    <xf numFmtId="0" fontId="42" fillId="5" borderId="0" xfId="15" applyFont="1" applyFill="1" applyBorder="1" applyAlignment="1">
      <alignment horizontal="center" wrapText="1"/>
    </xf>
    <xf numFmtId="0" fontId="42" fillId="10" borderId="25" xfId="15" applyFont="1" applyFill="1" applyBorder="1" applyAlignment="1">
      <alignment horizontal="center" wrapText="1"/>
    </xf>
    <xf numFmtId="0" fontId="42" fillId="10" borderId="2" xfId="15" applyFont="1" applyFill="1" applyBorder="1" applyAlignment="1">
      <alignment horizontal="center" wrapText="1"/>
    </xf>
    <xf numFmtId="0" fontId="42" fillId="10" borderId="26" xfId="15" applyFont="1" applyFill="1" applyBorder="1" applyAlignment="1">
      <alignment horizontal="center" wrapText="1"/>
    </xf>
    <xf numFmtId="0" fontId="42" fillId="10" borderId="11" xfId="0" applyFont="1" applyFill="1" applyBorder="1" applyAlignment="1">
      <alignment horizontal="center"/>
    </xf>
    <xf numFmtId="0" fontId="42" fillId="10" borderId="20" xfId="0" applyFont="1" applyFill="1" applyBorder="1" applyAlignment="1">
      <alignment horizontal="center"/>
    </xf>
    <xf numFmtId="0" fontId="42" fillId="10" borderId="35" xfId="0" quotePrefix="1" applyFont="1" applyFill="1" applyBorder="1" applyAlignment="1">
      <alignment horizontal="center"/>
    </xf>
    <xf numFmtId="0" fontId="42" fillId="10" borderId="22" xfId="0" quotePrefix="1" applyFont="1" applyFill="1" applyBorder="1" applyAlignment="1">
      <alignment horizontal="center"/>
    </xf>
    <xf numFmtId="0" fontId="42" fillId="10" borderId="36" xfId="0" quotePrefix="1" applyFont="1" applyFill="1" applyBorder="1" applyAlignment="1">
      <alignment horizontal="center"/>
    </xf>
    <xf numFmtId="0" fontId="42" fillId="10" borderId="16" xfId="0" applyFont="1" applyFill="1" applyBorder="1" applyAlignment="1">
      <alignment horizontal="center" vertical="center" wrapText="1"/>
    </xf>
    <xf numFmtId="0" fontId="42" fillId="10" borderId="8" xfId="0" applyFont="1" applyFill="1" applyBorder="1" applyAlignment="1">
      <alignment horizontal="center" vertical="center" wrapText="1"/>
    </xf>
    <xf numFmtId="0" fontId="42" fillId="10" borderId="9" xfId="0" applyFont="1" applyFill="1" applyBorder="1" applyAlignment="1">
      <alignment horizontal="center" vertical="center" wrapText="1"/>
    </xf>
    <xf numFmtId="0" fontId="42" fillId="10" borderId="4" xfId="0" applyFont="1" applyFill="1" applyBorder="1" applyAlignment="1">
      <alignment horizontal="center" vertical="center" wrapText="1"/>
    </xf>
    <xf numFmtId="0" fontId="42" fillId="11" borderId="9" xfId="0" applyFont="1" applyFill="1" applyBorder="1" applyAlignment="1">
      <alignment horizontal="center" vertical="center"/>
    </xf>
    <xf numFmtId="0" fontId="42" fillId="11" borderId="12" xfId="0" applyFont="1" applyFill="1" applyBorder="1" applyAlignment="1">
      <alignment horizontal="center" vertical="center"/>
    </xf>
    <xf numFmtId="0" fontId="42" fillId="10" borderId="6" xfId="0" applyFont="1" applyFill="1" applyBorder="1" applyAlignment="1">
      <alignment horizontal="center" vertical="center" wrapText="1"/>
    </xf>
    <xf numFmtId="0" fontId="42" fillId="10" borderId="31" xfId="0" applyFont="1" applyFill="1" applyBorder="1" applyAlignment="1">
      <alignment horizontal="center" vertical="center" wrapText="1"/>
    </xf>
    <xf numFmtId="0" fontId="42" fillId="10" borderId="7" xfId="0" applyFont="1" applyFill="1" applyBorder="1" applyAlignment="1">
      <alignment horizontal="center" vertical="center" wrapText="1"/>
    </xf>
    <xf numFmtId="0" fontId="42" fillId="10" borderId="18" xfId="0" applyFont="1" applyFill="1" applyBorder="1" applyAlignment="1">
      <alignment horizontal="center" vertical="center" wrapText="1"/>
    </xf>
    <xf numFmtId="0" fontId="42" fillId="11" borderId="9" xfId="0" applyFont="1" applyFill="1" applyBorder="1" applyAlignment="1">
      <alignment horizontal="center" vertical="center" wrapText="1"/>
    </xf>
    <xf numFmtId="0" fontId="42" fillId="11" borderId="12" xfId="0" applyFont="1" applyFill="1" applyBorder="1" applyAlignment="1">
      <alignment horizontal="center" vertical="center" wrapText="1"/>
    </xf>
    <xf numFmtId="0" fontId="42" fillId="10" borderId="4" xfId="0" quotePrefix="1" applyFont="1" applyFill="1" applyBorder="1" applyAlignment="1">
      <alignment horizontal="center" vertical="center" wrapText="1"/>
    </xf>
    <xf numFmtId="0" fontId="42" fillId="10" borderId="4" xfId="0" applyFont="1" applyFill="1" applyBorder="1" applyAlignment="1">
      <alignment horizontal="center"/>
    </xf>
    <xf numFmtId="0" fontId="42" fillId="10" borderId="6" xfId="0" applyFont="1" applyFill="1" applyBorder="1" applyAlignment="1">
      <alignment horizontal="center"/>
    </xf>
    <xf numFmtId="0" fontId="31" fillId="10" borderId="35" xfId="0" quotePrefix="1" applyFont="1" applyFill="1" applyBorder="1" applyAlignment="1">
      <alignment horizontal="center"/>
    </xf>
    <xf numFmtId="0" fontId="31" fillId="10" borderId="22" xfId="0" quotePrefix="1" applyFont="1" applyFill="1" applyBorder="1" applyAlignment="1">
      <alignment horizontal="center"/>
    </xf>
    <xf numFmtId="0" fontId="31" fillId="10" borderId="36" xfId="0" quotePrefix="1" applyFont="1" applyFill="1" applyBorder="1" applyAlignment="1">
      <alignment horizontal="center"/>
    </xf>
    <xf numFmtId="0" fontId="27" fillId="5" borderId="25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center"/>
    </xf>
    <xf numFmtId="0" fontId="27" fillId="5" borderId="26" xfId="0" applyFont="1" applyFill="1" applyBorder="1" applyAlignment="1">
      <alignment horizontal="center"/>
    </xf>
    <xf numFmtId="0" fontId="31" fillId="10" borderId="16" xfId="0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center" vertical="center" wrapText="1"/>
    </xf>
    <xf numFmtId="0" fontId="31" fillId="10" borderId="9" xfId="0" applyFont="1" applyFill="1" applyBorder="1" applyAlignment="1">
      <alignment horizontal="center" vertical="center" wrapText="1"/>
    </xf>
    <xf numFmtId="0" fontId="31" fillId="10" borderId="4" xfId="0" applyFont="1" applyFill="1" applyBorder="1" applyAlignment="1">
      <alignment horizontal="center" vertical="center" wrapText="1"/>
    </xf>
    <xf numFmtId="0" fontId="31" fillId="11" borderId="9" xfId="0" applyFont="1" applyFill="1" applyBorder="1" applyAlignment="1">
      <alignment horizontal="center" vertical="center"/>
    </xf>
    <xf numFmtId="0" fontId="31" fillId="11" borderId="12" xfId="0" applyFont="1" applyFill="1" applyBorder="1" applyAlignment="1">
      <alignment horizontal="center" vertical="center"/>
    </xf>
    <xf numFmtId="0" fontId="42" fillId="10" borderId="13" xfId="0" applyFont="1" applyFill="1" applyBorder="1" applyAlignment="1">
      <alignment horizontal="center"/>
    </xf>
    <xf numFmtId="0" fontId="42" fillId="10" borderId="14" xfId="0" applyFont="1" applyFill="1" applyBorder="1" applyAlignment="1">
      <alignment horizontal="center"/>
    </xf>
    <xf numFmtId="0" fontId="31" fillId="10" borderId="31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/>
    </xf>
    <xf numFmtId="0" fontId="31" fillId="10" borderId="14" xfId="0" applyFont="1" applyFill="1" applyBorder="1" applyAlignment="1">
      <alignment horizontal="center"/>
    </xf>
    <xf numFmtId="0" fontId="31" fillId="11" borderId="9" xfId="0" applyFont="1" applyFill="1" applyBorder="1" applyAlignment="1">
      <alignment horizontal="center" vertical="center" wrapText="1"/>
    </xf>
    <xf numFmtId="0" fontId="31" fillId="11" borderId="12" xfId="0" applyFont="1" applyFill="1" applyBorder="1" applyAlignment="1">
      <alignment horizontal="center" vertical="center" wrapText="1"/>
    </xf>
    <xf numFmtId="0" fontId="31" fillId="10" borderId="4" xfId="0" quotePrefix="1" applyFont="1" applyFill="1" applyBorder="1" applyAlignment="1">
      <alignment horizontal="center" vertical="center" wrapText="1"/>
    </xf>
    <xf numFmtId="0" fontId="31" fillId="10" borderId="4" xfId="0" applyFont="1" applyFill="1" applyBorder="1" applyAlignment="1">
      <alignment horizontal="center"/>
    </xf>
    <xf numFmtId="0" fontId="31" fillId="10" borderId="6" xfId="0" applyFont="1" applyFill="1" applyBorder="1" applyAlignment="1">
      <alignment horizontal="center"/>
    </xf>
    <xf numFmtId="0" fontId="53" fillId="5" borderId="0" xfId="0" applyFont="1" applyFill="1" applyAlignment="1">
      <alignment horizontal="left" wrapText="1"/>
    </xf>
    <xf numFmtId="0" fontId="51" fillId="5" borderId="0" xfId="0" applyFont="1" applyFill="1" applyAlignment="1">
      <alignment horizontal="left" wrapText="1"/>
    </xf>
    <xf numFmtId="0" fontId="13" fillId="10" borderId="35" xfId="27" applyFont="1" applyFill="1" applyBorder="1" applyAlignment="1">
      <alignment horizontal="center" vertical="top"/>
    </xf>
    <xf numFmtId="0" fontId="13" fillId="10" borderId="22" xfId="27" applyFont="1" applyFill="1" applyBorder="1" applyAlignment="1">
      <alignment horizontal="center" vertical="top"/>
    </xf>
    <xf numFmtId="0" fontId="13" fillId="10" borderId="36" xfId="27" applyFont="1" applyFill="1" applyBorder="1" applyAlignment="1">
      <alignment horizontal="center" vertical="top"/>
    </xf>
    <xf numFmtId="0" fontId="45" fillId="5" borderId="48" xfId="0" applyFont="1" applyFill="1" applyBorder="1" applyAlignment="1">
      <alignment horizontal="right"/>
    </xf>
    <xf numFmtId="0" fontId="45" fillId="5" borderId="5" xfId="0" applyFont="1" applyFill="1" applyBorder="1" applyAlignment="1">
      <alignment horizontal="right"/>
    </xf>
    <xf numFmtId="0" fontId="45" fillId="5" borderId="49" xfId="0" applyFont="1" applyFill="1" applyBorder="1" applyAlignment="1">
      <alignment horizontal="right"/>
    </xf>
    <xf numFmtId="0" fontId="13" fillId="10" borderId="8" xfId="27" applyFont="1" applyFill="1" applyBorder="1" applyAlignment="1">
      <alignment horizontal="center" vertical="center" wrapText="1"/>
    </xf>
    <xf numFmtId="0" fontId="42" fillId="10" borderId="35" xfId="14" applyFont="1" applyFill="1" applyBorder="1" applyAlignment="1">
      <alignment horizontal="center"/>
    </xf>
    <xf numFmtId="0" fontId="42" fillId="10" borderId="22" xfId="14" applyFont="1" applyFill="1" applyBorder="1" applyAlignment="1">
      <alignment horizontal="center"/>
    </xf>
    <xf numFmtId="0" fontId="42" fillId="10" borderId="36" xfId="14" applyFont="1" applyFill="1" applyBorder="1" applyAlignment="1">
      <alignment horizontal="center"/>
    </xf>
    <xf numFmtId="0" fontId="42" fillId="10" borderId="8" xfId="12" applyFont="1" applyFill="1" applyBorder="1" applyAlignment="1">
      <alignment horizontal="center" vertical="center" wrapText="1"/>
    </xf>
    <xf numFmtId="0" fontId="42" fillId="10" borderId="18" xfId="12" applyFont="1" applyFill="1" applyBorder="1" applyAlignment="1">
      <alignment horizontal="center" vertical="center" wrapText="1"/>
    </xf>
    <xf numFmtId="0" fontId="42" fillId="10" borderId="4" xfId="12" applyFont="1" applyFill="1" applyBorder="1" applyAlignment="1">
      <alignment horizontal="center" vertical="center" wrapText="1"/>
    </xf>
    <xf numFmtId="0" fontId="36" fillId="0" borderId="50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7" fillId="9" borderId="35" xfId="0" applyFont="1" applyFill="1" applyBorder="1" applyAlignment="1">
      <alignment horizontal="center"/>
    </xf>
    <xf numFmtId="0" fontId="37" fillId="9" borderId="22" xfId="0" applyFont="1" applyFill="1" applyBorder="1" applyAlignment="1">
      <alignment horizontal="center"/>
    </xf>
    <xf numFmtId="0" fontId="37" fillId="9" borderId="36" xfId="0" applyFont="1" applyFill="1" applyBorder="1" applyAlignment="1">
      <alignment horizontal="center"/>
    </xf>
    <xf numFmtId="0" fontId="42" fillId="11" borderId="35" xfId="14" applyFont="1" applyFill="1" applyBorder="1" applyAlignment="1">
      <alignment horizontal="center" wrapText="1"/>
    </xf>
    <xf numFmtId="0" fontId="42" fillId="11" borderId="22" xfId="14" applyFont="1" applyFill="1" applyBorder="1" applyAlignment="1">
      <alignment horizontal="center" wrapText="1"/>
    </xf>
    <xf numFmtId="0" fontId="42" fillId="11" borderId="36" xfId="14" applyFont="1" applyFill="1" applyBorder="1" applyAlignment="1">
      <alignment horizontal="center" wrapText="1"/>
    </xf>
    <xf numFmtId="0" fontId="57" fillId="0" borderId="25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5" borderId="33" xfId="0" applyFont="1" applyFill="1" applyBorder="1" applyAlignment="1">
      <alignment horizontal="right"/>
    </xf>
    <xf numFmtId="0" fontId="57" fillId="5" borderId="0" xfId="0" applyFont="1" applyFill="1" applyAlignment="1">
      <alignment horizontal="right"/>
    </xf>
    <xf numFmtId="0" fontId="57" fillId="5" borderId="34" xfId="0" applyFont="1" applyFill="1" applyBorder="1" applyAlignment="1">
      <alignment horizontal="right"/>
    </xf>
    <xf numFmtId="0" fontId="17" fillId="10" borderId="8" xfId="28" applyFont="1" applyFill="1" applyBorder="1" applyAlignment="1">
      <alignment horizontal="center" vertical="center" wrapText="1"/>
    </xf>
    <xf numFmtId="0" fontId="17" fillId="10" borderId="4" xfId="28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/>
    </xf>
    <xf numFmtId="0" fontId="59" fillId="10" borderId="22" xfId="0" applyFont="1" applyFill="1" applyBorder="1" applyAlignment="1">
      <alignment horizontal="center"/>
    </xf>
    <xf numFmtId="0" fontId="59" fillId="10" borderId="36" xfId="0" applyFont="1" applyFill="1" applyBorder="1" applyAlignment="1">
      <alignment horizontal="center"/>
    </xf>
    <xf numFmtId="0" fontId="60" fillId="5" borderId="25" xfId="0" applyFont="1" applyFill="1" applyBorder="1" applyAlignment="1">
      <alignment horizontal="center"/>
    </xf>
    <xf numFmtId="0" fontId="60" fillId="5" borderId="2" xfId="0" applyFont="1" applyFill="1" applyBorder="1" applyAlignment="1">
      <alignment horizontal="center"/>
    </xf>
    <xf numFmtId="0" fontId="60" fillId="5" borderId="26" xfId="0" applyFont="1" applyFill="1" applyBorder="1" applyAlignment="1">
      <alignment horizontal="center"/>
    </xf>
    <xf numFmtId="0" fontId="59" fillId="10" borderId="16" xfId="0" applyFont="1" applyFill="1" applyBorder="1" applyAlignment="1">
      <alignment horizontal="center" vertical="center" wrapText="1"/>
    </xf>
    <xf numFmtId="0" fontId="59" fillId="10" borderId="8" xfId="0" applyFont="1" applyFill="1" applyBorder="1" applyAlignment="1">
      <alignment horizontal="center" vertical="center" wrapText="1"/>
    </xf>
    <xf numFmtId="0" fontId="59" fillId="10" borderId="9" xfId="0" applyFont="1" applyFill="1" applyBorder="1" applyAlignment="1">
      <alignment horizontal="center" vertical="center" wrapText="1"/>
    </xf>
    <xf numFmtId="0" fontId="59" fillId="10" borderId="4" xfId="0" applyFont="1" applyFill="1" applyBorder="1" applyAlignment="1">
      <alignment horizontal="center" vertical="center" wrapText="1"/>
    </xf>
    <xf numFmtId="0" fontId="59" fillId="10" borderId="9" xfId="0" applyFont="1" applyFill="1" applyBorder="1" applyAlignment="1">
      <alignment horizontal="center" vertical="center"/>
    </xf>
    <xf numFmtId="0" fontId="59" fillId="10" borderId="12" xfId="0" applyFont="1" applyFill="1" applyBorder="1" applyAlignment="1">
      <alignment horizontal="center" vertical="center"/>
    </xf>
    <xf numFmtId="0" fontId="59" fillId="10" borderId="6" xfId="0" applyFont="1" applyFill="1" applyBorder="1" applyAlignment="1">
      <alignment horizontal="center" vertical="center"/>
    </xf>
    <xf numFmtId="0" fontId="42" fillId="10" borderId="25" xfId="0" applyFont="1" applyFill="1" applyBorder="1" applyAlignment="1">
      <alignment horizontal="center"/>
    </xf>
    <xf numFmtId="0" fontId="42" fillId="10" borderId="2" xfId="0" applyFont="1" applyFill="1" applyBorder="1" applyAlignment="1">
      <alignment horizontal="center"/>
    </xf>
    <xf numFmtId="0" fontId="42" fillId="10" borderId="26" xfId="0" applyFont="1" applyFill="1" applyBorder="1" applyAlignment="1">
      <alignment horizontal="center"/>
    </xf>
    <xf numFmtId="0" fontId="42" fillId="10" borderId="28" xfId="0" applyFont="1" applyFill="1" applyBorder="1" applyAlignment="1">
      <alignment horizontal="center" vertical="center" textRotation="90" wrapText="1"/>
    </xf>
    <xf numFmtId="0" fontId="42" fillId="10" borderId="17" xfId="0" applyFont="1" applyFill="1" applyBorder="1" applyAlignment="1">
      <alignment horizontal="center" vertical="center" textRotation="90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51" xfId="0" applyFont="1" applyFill="1" applyBorder="1" applyAlignment="1">
      <alignment horizontal="center" vertical="center" wrapText="1"/>
    </xf>
    <xf numFmtId="0" fontId="42" fillId="10" borderId="27" xfId="0" applyFont="1" applyFill="1" applyBorder="1" applyAlignment="1">
      <alignment horizontal="center" vertical="center" wrapText="1"/>
    </xf>
    <xf numFmtId="0" fontId="42" fillId="10" borderId="45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61" fillId="5" borderId="35" xfId="0" applyFont="1" applyFill="1" applyBorder="1" applyAlignment="1">
      <alignment horizontal="right"/>
    </xf>
    <xf numFmtId="0" fontId="61" fillId="5" borderId="22" xfId="0" applyFont="1" applyFill="1" applyBorder="1" applyAlignment="1">
      <alignment horizontal="right"/>
    </xf>
    <xf numFmtId="0" fontId="61" fillId="5" borderId="36" xfId="0" applyFont="1" applyFill="1" applyBorder="1" applyAlignment="1">
      <alignment horizontal="right"/>
    </xf>
    <xf numFmtId="0" fontId="13" fillId="10" borderId="35" xfId="0" applyFont="1" applyFill="1" applyBorder="1" applyAlignment="1">
      <alignment horizontal="center"/>
    </xf>
    <xf numFmtId="0" fontId="13" fillId="10" borderId="22" xfId="0" applyFont="1" applyFill="1" applyBorder="1" applyAlignment="1">
      <alignment horizontal="center"/>
    </xf>
    <xf numFmtId="0" fontId="13" fillId="10" borderId="36" xfId="0" applyFont="1" applyFill="1" applyBorder="1" applyAlignment="1">
      <alignment horizontal="center"/>
    </xf>
    <xf numFmtId="0" fontId="57" fillId="5" borderId="25" xfId="0" applyFont="1" applyFill="1" applyBorder="1" applyAlignment="1">
      <alignment horizontal="center"/>
    </xf>
    <xf numFmtId="0" fontId="57" fillId="5" borderId="2" xfId="0" applyFont="1" applyFill="1" applyBorder="1" applyAlignment="1">
      <alignment horizontal="center"/>
    </xf>
    <xf numFmtId="0" fontId="57" fillId="5" borderId="26" xfId="0" applyFont="1" applyFill="1" applyBorder="1" applyAlignment="1">
      <alignment horizontal="center"/>
    </xf>
    <xf numFmtId="0" fontId="57" fillId="5" borderId="35" xfId="0" applyFont="1" applyFill="1" applyBorder="1" applyAlignment="1">
      <alignment horizontal="right"/>
    </xf>
    <xf numFmtId="0" fontId="57" fillId="5" borderId="22" xfId="0" applyFont="1" applyFill="1" applyBorder="1" applyAlignment="1">
      <alignment horizontal="right"/>
    </xf>
    <xf numFmtId="0" fontId="57" fillId="5" borderId="36" xfId="0" applyFont="1" applyFill="1" applyBorder="1" applyAlignment="1">
      <alignment horizontal="right"/>
    </xf>
    <xf numFmtId="0" fontId="61" fillId="5" borderId="25" xfId="0" applyFont="1" applyFill="1" applyBorder="1" applyAlignment="1">
      <alignment horizontal="center"/>
    </xf>
    <xf numFmtId="0" fontId="61" fillId="5" borderId="2" xfId="0" applyFont="1" applyFill="1" applyBorder="1" applyAlignment="1">
      <alignment horizontal="center"/>
    </xf>
    <xf numFmtId="0" fontId="61" fillId="5" borderId="26" xfId="0" applyFont="1" applyFill="1" applyBorder="1" applyAlignment="1">
      <alignment horizontal="center"/>
    </xf>
    <xf numFmtId="0" fontId="57" fillId="5" borderId="33" xfId="0" applyFont="1" applyFill="1" applyBorder="1" applyAlignment="1">
      <alignment horizontal="center"/>
    </xf>
    <xf numFmtId="0" fontId="57" fillId="5" borderId="0" xfId="0" applyFont="1" applyFill="1" applyAlignment="1">
      <alignment horizontal="center"/>
    </xf>
    <xf numFmtId="0" fontId="57" fillId="5" borderId="34" xfId="0" applyFont="1" applyFill="1" applyBorder="1" applyAlignment="1">
      <alignment horizontal="center"/>
    </xf>
    <xf numFmtId="0" fontId="63" fillId="10" borderId="28" xfId="27" applyFont="1" applyFill="1" applyBorder="1" applyAlignment="1">
      <alignment horizontal="center" vertical="center" wrapText="1"/>
    </xf>
    <xf numFmtId="0" fontId="63" fillId="10" borderId="17" xfId="27" applyFont="1" applyFill="1" applyBorder="1" applyAlignment="1">
      <alignment horizontal="center" vertical="center" wrapText="1"/>
    </xf>
    <xf numFmtId="0" fontId="63" fillId="10" borderId="31" xfId="27" applyFont="1" applyFill="1" applyBorder="1" applyAlignment="1">
      <alignment horizontal="center" vertical="center" wrapText="1"/>
    </xf>
    <xf numFmtId="0" fontId="63" fillId="10" borderId="18" xfId="27" applyFont="1" applyFill="1" applyBorder="1" applyAlignment="1">
      <alignment horizontal="center" vertical="center" wrapText="1"/>
    </xf>
    <xf numFmtId="0" fontId="40" fillId="5" borderId="25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0" fontId="40" fillId="5" borderId="26" xfId="0" applyFont="1" applyFill="1" applyBorder="1" applyAlignment="1">
      <alignment horizontal="center"/>
    </xf>
    <xf numFmtId="0" fontId="38" fillId="10" borderId="35" xfId="0" applyFont="1" applyFill="1" applyBorder="1" applyAlignment="1">
      <alignment horizontal="center"/>
    </xf>
    <xf numFmtId="0" fontId="38" fillId="10" borderId="22" xfId="0" applyFont="1" applyFill="1" applyBorder="1" applyAlignment="1">
      <alignment horizontal="center"/>
    </xf>
    <xf numFmtId="0" fontId="38" fillId="10" borderId="36" xfId="0" applyFont="1" applyFill="1" applyBorder="1" applyAlignment="1">
      <alignment horizontal="center"/>
    </xf>
    <xf numFmtId="0" fontId="13" fillId="14" borderId="25" xfId="12" applyFont="1" applyFill="1" applyBorder="1" applyAlignment="1">
      <alignment horizontal="center" vertical="top"/>
    </xf>
    <xf numFmtId="0" fontId="13" fillId="14" borderId="2" xfId="12" applyFont="1" applyFill="1" applyBorder="1" applyAlignment="1">
      <alignment horizontal="center" vertical="top"/>
    </xf>
    <xf numFmtId="0" fontId="13" fillId="14" borderId="26" xfId="12" applyFont="1" applyFill="1" applyBorder="1" applyAlignment="1">
      <alignment horizontal="center" vertical="top"/>
    </xf>
    <xf numFmtId="0" fontId="45" fillId="5" borderId="50" xfId="0" applyFont="1" applyFill="1" applyBorder="1" applyAlignment="1">
      <alignment horizontal="center"/>
    </xf>
    <xf numFmtId="0" fontId="45" fillId="5" borderId="51" xfId="0" applyFont="1" applyFill="1" applyBorder="1" applyAlignment="1">
      <alignment horizontal="center"/>
    </xf>
    <xf numFmtId="0" fontId="63" fillId="5" borderId="25" xfId="0" applyFont="1" applyFill="1" applyBorder="1" applyAlignment="1">
      <alignment horizontal="center"/>
    </xf>
    <xf numFmtId="0" fontId="63" fillId="5" borderId="2" xfId="0" applyFont="1" applyFill="1" applyBorder="1" applyAlignment="1">
      <alignment horizontal="center"/>
    </xf>
    <xf numFmtId="0" fontId="63" fillId="5" borderId="26" xfId="0" applyFont="1" applyFill="1" applyBorder="1" applyAlignment="1">
      <alignment horizontal="center"/>
    </xf>
    <xf numFmtId="0" fontId="63" fillId="5" borderId="33" xfId="0" applyFont="1" applyFill="1" applyBorder="1" applyAlignment="1">
      <alignment horizontal="center"/>
    </xf>
    <xf numFmtId="0" fontId="63" fillId="5" borderId="0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 vertical="center"/>
    </xf>
    <xf numFmtId="0" fontId="66" fillId="9" borderId="35" xfId="0" applyFont="1" applyFill="1" applyBorder="1" applyAlignment="1">
      <alignment horizontal="center" vertical="center"/>
    </xf>
    <xf numFmtId="0" fontId="66" fillId="9" borderId="22" xfId="0" applyFont="1" applyFill="1" applyBorder="1" applyAlignment="1">
      <alignment horizontal="center" vertical="center"/>
    </xf>
    <xf numFmtId="0" fontId="66" fillId="9" borderId="36" xfId="0" applyFont="1" applyFill="1" applyBorder="1" applyAlignment="1">
      <alignment horizontal="center" vertical="center"/>
    </xf>
    <xf numFmtId="0" fontId="13" fillId="15" borderId="35" xfId="0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/>
    </xf>
    <xf numFmtId="0" fontId="13" fillId="15" borderId="36" xfId="0" applyFont="1" applyFill="1" applyBorder="1" applyAlignment="1">
      <alignment horizontal="center"/>
    </xf>
    <xf numFmtId="0" fontId="63" fillId="14" borderId="16" xfId="0" applyFont="1" applyFill="1" applyBorder="1" applyAlignment="1">
      <alignment horizontal="center" vertical="center"/>
    </xf>
    <xf numFmtId="0" fontId="63" fillId="14" borderId="8" xfId="0" applyFont="1" applyFill="1" applyBorder="1" applyAlignment="1">
      <alignment horizontal="center" vertical="center"/>
    </xf>
    <xf numFmtId="0" fontId="63" fillId="14" borderId="9" xfId="0" applyFont="1" applyFill="1" applyBorder="1" applyAlignment="1">
      <alignment horizontal="center" vertical="center"/>
    </xf>
    <xf numFmtId="0" fontId="63" fillId="14" borderId="4" xfId="0" applyFont="1" applyFill="1" applyBorder="1" applyAlignment="1">
      <alignment horizontal="center" vertical="center"/>
    </xf>
    <xf numFmtId="0" fontId="63" fillId="14" borderId="12" xfId="0" applyFont="1" applyFill="1" applyBorder="1" applyAlignment="1">
      <alignment horizontal="center" vertical="center"/>
    </xf>
    <xf numFmtId="0" fontId="63" fillId="14" borderId="6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45" fillId="5" borderId="33" xfId="0" applyFont="1" applyFill="1" applyBorder="1" applyAlignment="1">
      <alignment horizontal="center"/>
    </xf>
    <xf numFmtId="0" fontId="45" fillId="5" borderId="0" xfId="0" applyFont="1" applyFill="1" applyBorder="1" applyAlignment="1">
      <alignment horizontal="center"/>
    </xf>
    <xf numFmtId="0" fontId="41" fillId="9" borderId="35" xfId="0" applyFont="1" applyFill="1" applyBorder="1" applyAlignment="1">
      <alignment horizontal="center"/>
    </xf>
    <xf numFmtId="0" fontId="41" fillId="9" borderId="22" xfId="0" applyFont="1" applyFill="1" applyBorder="1" applyAlignment="1">
      <alignment horizontal="center"/>
    </xf>
    <xf numFmtId="0" fontId="41" fillId="9" borderId="36" xfId="0" applyFont="1" applyFill="1" applyBorder="1" applyAlignment="1">
      <alignment horizontal="center"/>
    </xf>
    <xf numFmtId="0" fontId="29" fillId="5" borderId="25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29" fillId="5" borderId="26" xfId="0" applyFont="1" applyFill="1" applyBorder="1" applyAlignment="1">
      <alignment horizontal="center"/>
    </xf>
    <xf numFmtId="0" fontId="29" fillId="5" borderId="33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43" fontId="13" fillId="0" borderId="0" xfId="30" applyNumberFormat="1" applyFont="1" applyFill="1" applyBorder="1" applyAlignment="1">
      <alignment horizontal="center"/>
    </xf>
    <xf numFmtId="43" fontId="6" fillId="0" borderId="0" xfId="3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5" xfId="0" applyFont="1" applyFill="1" applyBorder="1" applyAlignment="1">
      <alignment horizontal="center"/>
    </xf>
  </cellXfs>
  <cellStyles count="38">
    <cellStyle name="Body" xfId="2"/>
    <cellStyle name="Comma" xfId="29" builtinId="3"/>
    <cellStyle name="Comma  - Style1" xfId="3"/>
    <cellStyle name="Comma 2" xfId="4"/>
    <cellStyle name="Comma 2 2" xfId="30"/>
    <cellStyle name="Comma 3" xfId="31"/>
    <cellStyle name="Comma 5" xfId="32"/>
    <cellStyle name="Curren - Style2" xfId="5"/>
    <cellStyle name="Grey" xfId="6"/>
    <cellStyle name="Header1" xfId="7"/>
    <cellStyle name="Header2" xfId="8"/>
    <cellStyle name="Input [yellow]" xfId="9"/>
    <cellStyle name="no dec" xfId="10"/>
    <cellStyle name="Normal" xfId="0" builtinId="0"/>
    <cellStyle name="Normal - Style1" xfId="11"/>
    <cellStyle name="Normal 2" xfId="1"/>
    <cellStyle name="Normal 2 2" xfId="12"/>
    <cellStyle name="Normal 2 2 2" xfId="13"/>
    <cellStyle name="Normal 2 3" xfId="26"/>
    <cellStyle name="Normal 3" xfId="14"/>
    <cellStyle name="Normal 3 2" xfId="15"/>
    <cellStyle name="Normal 4" xfId="16"/>
    <cellStyle name="Normal 5" xfId="17"/>
    <cellStyle name="Normal 6" xfId="18"/>
    <cellStyle name="Normal 7" xfId="19"/>
    <cellStyle name="Normal 8" xfId="20"/>
    <cellStyle name="Normal 9" xfId="25"/>
    <cellStyle name="Normal 9 2" xfId="34"/>
    <cellStyle name="Normal_ARR &amp; ERC FORMS (10052007) - MYT 2007-2010- revised 8 ( with new tariff)" xfId="35"/>
    <cellStyle name="Normal_FORMATS 5 YEAR ALOKE" xfId="21"/>
    <cellStyle name="Normal_FORMATS 5 YEAR ALOKE 2" xfId="28"/>
    <cellStyle name="Normal_Forms" xfId="27"/>
    <cellStyle name="Normal_Tariff Commision Report - 05-05-05" xfId="37"/>
    <cellStyle name="Normal_Tariff Commission Report-2005-06- Audited" xfId="36"/>
    <cellStyle name="Percent" xfId="33" builtinId="5"/>
    <cellStyle name="Percent [0]_#6 Temps &amp; Contractors" xfId="22"/>
    <cellStyle name="Percent [2]" xfId="23"/>
    <cellStyle name="Style 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/Power%2017-18/Phase%20I/Duty/Phase%20I%20Duty%2017-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ackup/Power%20Final%20Acts%2015-16/Final/Finlaised%2021-11-2017TECHNO%20POWER%202015-16%20-%20V2%20(18.11.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/Power%2017-18/Phase%20II%20&amp;%20III/Duty%20Phase%20II&amp;III/Phase%20II%20Duty%2017-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%20Final%20Acts%2017-18/ARR/Purchase%2017-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%20Final%20Acts%2017-18/Draft/TECHNO%20POWER%202017-18%20-%20V2%20(with%20cash%20flow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%20Final%20Acts%2017-18/Tabulation17-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%20Final%20Acts%2016-17/Tabulation16-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%20Final%20Acts%2017-18/ARR/Sales%20analysis%2017-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%20Final%20Acts%2017-18/Collect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E/Finance/Backup/Power%20Final%20Acts%2016-17/Draft/TECHNO%20POWER%202016-17%20-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4"/>
      <sheetName val="Sec 3"/>
      <sheetName val="Sec 5 A"/>
      <sheetName val="Surcharge"/>
      <sheetName val="Self Consumption"/>
    </sheetNames>
    <sheetDataSet>
      <sheetData sheetId="0">
        <row r="22">
          <cell r="M22">
            <v>260027.62282650004</v>
          </cell>
        </row>
      </sheetData>
      <sheetData sheetId="1" refreshError="1"/>
      <sheetData sheetId="2">
        <row r="50">
          <cell r="G50">
            <v>24.853631999999919</v>
          </cell>
        </row>
      </sheetData>
      <sheetData sheetId="3">
        <row r="30">
          <cell r="G30">
            <v>6005.1520450000007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heet P&amp;L"/>
      <sheetName val="Schedules"/>
      <sheetName val="FA"/>
      <sheetName val="Trial Balance 18.11.17"/>
      <sheetName val="Cash Flow "/>
    </sheetNames>
    <sheetDataSet>
      <sheetData sheetId="0" refreshError="1">
        <row r="10">
          <cell r="C10">
            <v>270299663</v>
          </cell>
        </row>
        <row r="11">
          <cell r="F11">
            <v>-915</v>
          </cell>
        </row>
        <row r="14">
          <cell r="C14">
            <v>83875</v>
          </cell>
        </row>
        <row r="17">
          <cell r="F17">
            <v>2086924.18</v>
          </cell>
        </row>
        <row r="18">
          <cell r="F18">
            <v>3435158</v>
          </cell>
        </row>
        <row r="19">
          <cell r="F19">
            <v>9319102</v>
          </cell>
        </row>
        <row r="21">
          <cell r="F21">
            <v>36597223.779999971</v>
          </cell>
        </row>
        <row r="28">
          <cell r="F28">
            <v>19975034</v>
          </cell>
        </row>
        <row r="30">
          <cell r="F30">
            <v>-7496445.6499999985</v>
          </cell>
        </row>
        <row r="31">
          <cell r="E31">
            <v>8342075.8300000001</v>
          </cell>
        </row>
        <row r="32">
          <cell r="F32">
            <v>168315</v>
          </cell>
        </row>
        <row r="33">
          <cell r="F33">
            <v>20000</v>
          </cell>
        </row>
        <row r="34">
          <cell r="F34">
            <v>1928601</v>
          </cell>
        </row>
        <row r="35">
          <cell r="F35">
            <v>695298</v>
          </cell>
        </row>
        <row r="41">
          <cell r="F41">
            <v>-3519626</v>
          </cell>
        </row>
        <row r="42">
          <cell r="F42">
            <v>5420039</v>
          </cell>
        </row>
        <row r="44">
          <cell r="F44">
            <v>14599763</v>
          </cell>
        </row>
        <row r="114">
          <cell r="C114">
            <v>18617513</v>
          </cell>
        </row>
        <row r="117">
          <cell r="C117">
            <v>-11205961.25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4"/>
      <sheetName val="Sec 3"/>
      <sheetName val="Sec 5 A"/>
      <sheetName val="Sec 5A Info &amp; UST"/>
      <sheetName val="Surcharge"/>
    </sheetNames>
    <sheetDataSet>
      <sheetData sheetId="0">
        <row r="22">
          <cell r="M22">
            <v>68497.319335000007</v>
          </cell>
        </row>
      </sheetData>
      <sheetData sheetId="1" refreshError="1"/>
      <sheetData sheetId="2">
        <row r="21">
          <cell r="G21">
            <v>14.100479999999999</v>
          </cell>
        </row>
      </sheetData>
      <sheetData sheetId="3" refreshError="1"/>
      <sheetData sheetId="4">
        <row r="34">
          <cell r="G34">
            <v>3818.5200000000004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 I"/>
      <sheetName val="Phase II &amp; III"/>
      <sheetName val="Kollam"/>
    </sheetNames>
    <sheetDataSet>
      <sheetData sheetId="0">
        <row r="19">
          <cell r="J19">
            <v>170139</v>
          </cell>
        </row>
      </sheetData>
      <sheetData sheetId="1">
        <row r="19">
          <cell r="J19">
            <v>62831</v>
          </cell>
        </row>
      </sheetData>
      <sheetData sheetId="2">
        <row r="19">
          <cell r="J19">
            <v>900</v>
          </cell>
        </row>
        <row r="37">
          <cell r="J37">
            <v>14400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heet P&amp;L"/>
      <sheetName val="P&amp;L"/>
      <sheetName val="Schedules"/>
      <sheetName val="FA"/>
      <sheetName val="Cash Flow "/>
    </sheetNames>
    <sheetDataSet>
      <sheetData sheetId="0">
        <row r="10">
          <cell r="C10">
            <v>1227518613</v>
          </cell>
        </row>
        <row r="11">
          <cell r="C11">
            <v>35845457.219999999</v>
          </cell>
          <cell r="F11">
            <v>203218950</v>
          </cell>
        </row>
        <row r="14">
          <cell r="C14">
            <v>30000</v>
          </cell>
        </row>
        <row r="15">
          <cell r="D15">
            <v>-186415960.72273046</v>
          </cell>
        </row>
        <row r="17">
          <cell r="D17">
            <v>0</v>
          </cell>
          <cell r="F17">
            <v>9396987</v>
          </cell>
        </row>
        <row r="18">
          <cell r="D18">
            <v>69957189</v>
          </cell>
          <cell r="F18">
            <v>7715009</v>
          </cell>
        </row>
        <row r="20">
          <cell r="D20">
            <v>507706669.34999996</v>
          </cell>
          <cell r="F20">
            <v>29083663.99999994</v>
          </cell>
        </row>
        <row r="23">
          <cell r="C23">
            <v>795408085.53999996</v>
          </cell>
        </row>
        <row r="24">
          <cell r="C24">
            <v>182773120.65386087</v>
          </cell>
        </row>
        <row r="25">
          <cell r="D25">
            <v>153774226</v>
          </cell>
          <cell r="F25">
            <v>142459448</v>
          </cell>
        </row>
        <row r="27">
          <cell r="D27">
            <v>53365773</v>
          </cell>
          <cell r="F27">
            <v>2971534</v>
          </cell>
        </row>
        <row r="29">
          <cell r="D29">
            <v>56013352.210000001</v>
          </cell>
          <cell r="F29">
            <v>11520647.710000001</v>
          </cell>
        </row>
        <row r="30">
          <cell r="D30">
            <v>13262425.449999999</v>
          </cell>
          <cell r="E30">
            <v>47012145.43</v>
          </cell>
        </row>
        <row r="31">
          <cell r="D31">
            <v>233237</v>
          </cell>
          <cell r="F31">
            <v>0</v>
          </cell>
        </row>
        <row r="32">
          <cell r="F32">
            <v>0</v>
          </cell>
        </row>
        <row r="33">
          <cell r="F33">
            <v>80000</v>
          </cell>
        </row>
        <row r="34">
          <cell r="D34">
            <v>79655473.299999997</v>
          </cell>
          <cell r="F34">
            <v>51657164</v>
          </cell>
        </row>
        <row r="35">
          <cell r="D35">
            <v>869673659</v>
          </cell>
          <cell r="F35">
            <v>69086281</v>
          </cell>
        </row>
        <row r="40">
          <cell r="C40">
            <v>57000</v>
          </cell>
          <cell r="F40">
            <v>-3000</v>
          </cell>
        </row>
        <row r="41">
          <cell r="C41">
            <v>4329178</v>
          </cell>
          <cell r="F41">
            <v>-989560</v>
          </cell>
        </row>
        <row r="42">
          <cell r="C42">
            <v>45949701</v>
          </cell>
          <cell r="F42">
            <v>1918385</v>
          </cell>
        </row>
        <row r="43">
          <cell r="C43">
            <v>12289</v>
          </cell>
        </row>
        <row r="44">
          <cell r="C44">
            <v>133652975</v>
          </cell>
          <cell r="F44">
            <v>6054912</v>
          </cell>
        </row>
        <row r="103">
          <cell r="E103">
            <v>7774954</v>
          </cell>
        </row>
        <row r="113">
          <cell r="E113">
            <v>29986310.452730436</v>
          </cell>
        </row>
        <row r="116">
          <cell r="E116">
            <v>-4864135.7227303982</v>
          </cell>
        </row>
      </sheetData>
      <sheetData sheetId="1" refreshError="1"/>
      <sheetData sheetId="2">
        <row r="55">
          <cell r="B55">
            <v>3271036</v>
          </cell>
        </row>
        <row r="56">
          <cell r="B56">
            <v>2701520</v>
          </cell>
        </row>
        <row r="57">
          <cell r="B57">
            <v>4069303.9</v>
          </cell>
        </row>
        <row r="58">
          <cell r="B58">
            <v>27613020.940000001</v>
          </cell>
        </row>
        <row r="59">
          <cell r="B59">
            <v>55868</v>
          </cell>
        </row>
        <row r="60">
          <cell r="B60">
            <v>316288.42</v>
          </cell>
        </row>
      </sheetData>
      <sheetData sheetId="3">
        <row r="32">
          <cell r="E32">
            <v>2639359</v>
          </cell>
          <cell r="F32">
            <v>818816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"/>
      <sheetName val="Salary"/>
      <sheetName val="Expenses %"/>
      <sheetName val="Street Light &amp; Self"/>
      <sheetName val="Purchase&amp;Sales - Phase I"/>
      <sheetName val="Purchase&amp;Sales - Phase II&amp;III"/>
      <sheetName val="Purchase &amp; Sales - Kollam"/>
      <sheetName val="16-17 (Phase I)"/>
      <sheetName val="16-17 Phase II"/>
      <sheetName val="16-17 Kollam"/>
      <sheetName val="Duty payments"/>
    </sheetNames>
    <sheetDataSet>
      <sheetData sheetId="0" refreshError="1"/>
      <sheetData sheetId="1">
        <row r="73">
          <cell r="X73">
            <v>845230</v>
          </cell>
        </row>
      </sheetData>
      <sheetData sheetId="2">
        <row r="11">
          <cell r="F11">
            <v>9873644.0549999997</v>
          </cell>
        </row>
        <row r="35">
          <cell r="C35">
            <v>784849.6590000001</v>
          </cell>
        </row>
        <row r="38">
          <cell r="C38">
            <v>11399831</v>
          </cell>
        </row>
        <row r="39">
          <cell r="C39">
            <v>7715009</v>
          </cell>
        </row>
      </sheetData>
      <sheetData sheetId="3">
        <row r="6">
          <cell r="D6">
            <v>27663</v>
          </cell>
        </row>
        <row r="7">
          <cell r="D7">
            <v>27068</v>
          </cell>
        </row>
        <row r="8">
          <cell r="D8">
            <v>29387</v>
          </cell>
        </row>
        <row r="9">
          <cell r="D9">
            <v>26574</v>
          </cell>
        </row>
        <row r="10">
          <cell r="D10">
            <v>26220</v>
          </cell>
        </row>
        <row r="11">
          <cell r="D11">
            <v>15149</v>
          </cell>
        </row>
        <row r="12">
          <cell r="D12">
            <v>29233</v>
          </cell>
        </row>
        <row r="13">
          <cell r="D13">
            <v>21387.5</v>
          </cell>
        </row>
        <row r="14">
          <cell r="D14">
            <v>19794</v>
          </cell>
        </row>
        <row r="15">
          <cell r="D15">
            <v>20714</v>
          </cell>
        </row>
        <row r="16">
          <cell r="D16">
            <v>17778</v>
          </cell>
        </row>
        <row r="17">
          <cell r="D17">
            <v>21442</v>
          </cell>
        </row>
        <row r="25">
          <cell r="D25">
            <v>5640</v>
          </cell>
        </row>
        <row r="26">
          <cell r="D26">
            <v>5890</v>
          </cell>
        </row>
        <row r="27">
          <cell r="D27">
            <v>5538</v>
          </cell>
        </row>
        <row r="28">
          <cell r="D28">
            <v>5736</v>
          </cell>
        </row>
        <row r="29">
          <cell r="D29">
            <v>5978</v>
          </cell>
        </row>
        <row r="30">
          <cell r="D30">
            <v>5418</v>
          </cell>
        </row>
        <row r="31">
          <cell r="D31">
            <v>5780</v>
          </cell>
        </row>
        <row r="32">
          <cell r="D32">
            <v>6109</v>
          </cell>
        </row>
        <row r="33">
          <cell r="D33">
            <v>6517</v>
          </cell>
        </row>
        <row r="34">
          <cell r="D34">
            <v>6536.7</v>
          </cell>
        </row>
        <row r="35">
          <cell r="D35">
            <v>5492.08</v>
          </cell>
        </row>
        <row r="36">
          <cell r="D36">
            <v>6506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"/>
      <sheetName val="Salary"/>
      <sheetName val="Expenses %"/>
      <sheetName val="Street Light &amp; Self"/>
      <sheetName val="Purchase&amp;Sales - Phase I"/>
      <sheetName val="Purchase&amp;Sales - Phase II&amp;III"/>
      <sheetName val="Purchase &amp; Sales - Kollam"/>
      <sheetName val="16-17 (Phase I)"/>
      <sheetName val="16-17 Phase II"/>
      <sheetName val="16-17 Kollam"/>
      <sheetName val="Duty payments"/>
    </sheetNames>
    <sheetDataSet>
      <sheetData sheetId="0"/>
      <sheetData sheetId="1">
        <row r="57">
          <cell r="X57">
            <v>847121</v>
          </cell>
        </row>
      </sheetData>
      <sheetData sheetId="2">
        <row r="25">
          <cell r="C25">
            <v>136917.44857142857</v>
          </cell>
        </row>
        <row r="39">
          <cell r="B39">
            <v>233529347</v>
          </cell>
        </row>
      </sheetData>
      <sheetData sheetId="3">
        <row r="6">
          <cell r="D6">
            <v>22354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se I HT"/>
      <sheetName val="Phase I LT"/>
      <sheetName val="Phase II HT"/>
      <sheetName val="Phase II&amp;III LT"/>
      <sheetName val="Kollam LT"/>
      <sheetName val="Units"/>
      <sheetName val="Collection efficiency"/>
    </sheetNames>
    <sheetDataSet>
      <sheetData sheetId="0"/>
      <sheetData sheetId="1"/>
      <sheetData sheetId="2">
        <row r="5">
          <cell r="G5">
            <v>791000</v>
          </cell>
          <cell r="H5">
            <v>196000</v>
          </cell>
          <cell r="I5">
            <v>297960</v>
          </cell>
        </row>
        <row r="6">
          <cell r="G6">
            <v>791160</v>
          </cell>
          <cell r="H6">
            <v>193800</v>
          </cell>
          <cell r="I6">
            <v>292280</v>
          </cell>
        </row>
        <row r="7">
          <cell r="G7">
            <v>706400</v>
          </cell>
          <cell r="H7">
            <v>178160</v>
          </cell>
          <cell r="I7">
            <v>279040</v>
          </cell>
        </row>
        <row r="8">
          <cell r="G8">
            <v>763040</v>
          </cell>
          <cell r="H8">
            <v>199800</v>
          </cell>
          <cell r="I8">
            <v>313760</v>
          </cell>
        </row>
        <row r="9">
          <cell r="G9">
            <v>788280</v>
          </cell>
          <cell r="H9">
            <v>206600</v>
          </cell>
          <cell r="I9">
            <v>313480</v>
          </cell>
        </row>
        <row r="10">
          <cell r="G10">
            <v>742720</v>
          </cell>
          <cell r="H10">
            <v>194640</v>
          </cell>
          <cell r="I10">
            <v>307440</v>
          </cell>
        </row>
        <row r="11">
          <cell r="G11">
            <v>826360</v>
          </cell>
          <cell r="H11">
            <v>218360</v>
          </cell>
          <cell r="I11">
            <v>327560</v>
          </cell>
        </row>
        <row r="12">
          <cell r="G12">
            <v>762480</v>
          </cell>
          <cell r="H12">
            <v>193040</v>
          </cell>
          <cell r="I12">
            <v>294080</v>
          </cell>
        </row>
        <row r="13">
          <cell r="G13">
            <v>710240</v>
          </cell>
          <cell r="H13">
            <v>196440</v>
          </cell>
          <cell r="I13">
            <v>310200</v>
          </cell>
        </row>
        <row r="14">
          <cell r="G14">
            <v>756280</v>
          </cell>
          <cell r="H14">
            <v>207840</v>
          </cell>
          <cell r="I14">
            <v>315200</v>
          </cell>
        </row>
        <row r="15">
          <cell r="G15">
            <v>716560</v>
          </cell>
          <cell r="H15">
            <v>197880</v>
          </cell>
          <cell r="I15">
            <v>289800</v>
          </cell>
        </row>
        <row r="16">
          <cell r="G16">
            <v>837360</v>
          </cell>
          <cell r="H16">
            <v>224280</v>
          </cell>
          <cell r="I16">
            <v>334560</v>
          </cell>
        </row>
      </sheetData>
      <sheetData sheetId="3">
        <row r="6">
          <cell r="G6">
            <v>3930.2999999999984</v>
          </cell>
          <cell r="H6">
            <v>1356.2000000000023</v>
          </cell>
          <cell r="I6">
            <v>1314.700000000003</v>
          </cell>
        </row>
        <row r="7">
          <cell r="G7">
            <v>343004.2999999997</v>
          </cell>
          <cell r="H7">
            <v>99511.75</v>
          </cell>
          <cell r="I7">
            <v>119664.70000000004</v>
          </cell>
        </row>
        <row r="8">
          <cell r="G8">
            <v>2275.2600000000002</v>
          </cell>
        </row>
        <row r="9">
          <cell r="G9">
            <v>135818.79999999999</v>
          </cell>
        </row>
        <row r="10">
          <cell r="G10">
            <v>714.06999999999971</v>
          </cell>
        </row>
        <row r="11">
          <cell r="G11">
            <v>5501.1500000000015</v>
          </cell>
        </row>
        <row r="12">
          <cell r="G12">
            <v>10096.379999999997</v>
          </cell>
        </row>
        <row r="13">
          <cell r="G13">
            <v>1138.6999999999996</v>
          </cell>
        </row>
        <row r="14">
          <cell r="G14">
            <v>360</v>
          </cell>
        </row>
        <row r="15">
          <cell r="G15">
            <v>5263.2000000000016</v>
          </cell>
          <cell r="H15">
            <v>2003.9999999999982</v>
          </cell>
          <cell r="I15">
            <v>1352.8999999999976</v>
          </cell>
        </row>
        <row r="16">
          <cell r="G16">
            <v>369857.50000000023</v>
          </cell>
          <cell r="H16">
            <v>105667.09999999998</v>
          </cell>
          <cell r="I16">
            <v>124813.79999999993</v>
          </cell>
        </row>
        <row r="17">
          <cell r="G17">
            <v>2374.1799999999985</v>
          </cell>
        </row>
        <row r="18">
          <cell r="G18">
            <v>139897.55000000002</v>
          </cell>
        </row>
        <row r="19">
          <cell r="G19">
            <v>1208.4000000000008</v>
          </cell>
        </row>
        <row r="20">
          <cell r="G20">
            <v>5866.0999999999995</v>
          </cell>
        </row>
        <row r="21">
          <cell r="G21">
            <v>8114.9000000000024</v>
          </cell>
        </row>
        <row r="22">
          <cell r="G22">
            <v>2869.8999999999978</v>
          </cell>
        </row>
        <row r="23">
          <cell r="G23">
            <v>1030</v>
          </cell>
        </row>
        <row r="24">
          <cell r="G24">
            <v>3407.199999999998</v>
          </cell>
          <cell r="H24">
            <v>1182.700000000001</v>
          </cell>
          <cell r="I24">
            <v>945.60000000000014</v>
          </cell>
        </row>
        <row r="25">
          <cell r="G25">
            <v>350937.80000000016</v>
          </cell>
          <cell r="H25">
            <v>99568.3</v>
          </cell>
          <cell r="I25">
            <v>120542.35</v>
          </cell>
        </row>
        <row r="26">
          <cell r="G26">
            <v>1971.1400000000012</v>
          </cell>
        </row>
        <row r="27">
          <cell r="G27">
            <v>142658.31</v>
          </cell>
        </row>
        <row r="28">
          <cell r="G28">
            <v>1080.9999999999995</v>
          </cell>
        </row>
        <row r="29">
          <cell r="G29">
            <v>5654.2</v>
          </cell>
        </row>
        <row r="30">
          <cell r="G30">
            <v>8807.8799999999974</v>
          </cell>
        </row>
        <row r="31">
          <cell r="G31">
            <v>2615.300000000002</v>
          </cell>
        </row>
        <row r="32">
          <cell r="G32">
            <v>990</v>
          </cell>
        </row>
        <row r="33">
          <cell r="G33">
            <v>3208.2000000000071</v>
          </cell>
          <cell r="H33">
            <v>1132.8</v>
          </cell>
          <cell r="I33">
            <v>710.20000000000164</v>
          </cell>
        </row>
        <row r="34">
          <cell r="G34">
            <v>354937.99999999988</v>
          </cell>
          <cell r="H34">
            <v>99327.450000000026</v>
          </cell>
          <cell r="I34">
            <v>126783.75000000001</v>
          </cell>
        </row>
        <row r="35">
          <cell r="G35">
            <v>1188.9799999999977</v>
          </cell>
        </row>
        <row r="36">
          <cell r="G36">
            <v>143763.53999999998</v>
          </cell>
        </row>
        <row r="37">
          <cell r="G37">
            <v>1111.8000000000006</v>
          </cell>
        </row>
        <row r="38">
          <cell r="G38">
            <v>5483.1999999999989</v>
          </cell>
        </row>
        <row r="39">
          <cell r="G39">
            <v>9812.39</v>
          </cell>
        </row>
        <row r="40">
          <cell r="G40">
            <v>2624.5999999999985</v>
          </cell>
        </row>
        <row r="41">
          <cell r="G41">
            <v>1020</v>
          </cell>
        </row>
        <row r="42">
          <cell r="G42">
            <v>2896.3999999999996</v>
          </cell>
          <cell r="H42">
            <v>905.59999999999889</v>
          </cell>
          <cell r="I42">
            <v>642.599999999999</v>
          </cell>
        </row>
        <row r="43">
          <cell r="G43">
            <v>390410.04999999981</v>
          </cell>
          <cell r="H43">
            <v>82556.249999999956</v>
          </cell>
          <cell r="I43">
            <v>120340.55000000002</v>
          </cell>
        </row>
        <row r="44">
          <cell r="G44">
            <v>1037.8200000000015</v>
          </cell>
        </row>
        <row r="45">
          <cell r="G45">
            <v>154092.72</v>
          </cell>
        </row>
        <row r="46">
          <cell r="G46">
            <v>1160.9000000000001</v>
          </cell>
        </row>
        <row r="47">
          <cell r="G47">
            <v>5147.9000000000005</v>
          </cell>
        </row>
        <row r="48">
          <cell r="G48">
            <v>10573.54</v>
          </cell>
        </row>
        <row r="49">
          <cell r="G49">
            <v>2702.3000000000015</v>
          </cell>
        </row>
        <row r="50">
          <cell r="G50">
            <v>990</v>
          </cell>
        </row>
        <row r="51">
          <cell r="G51">
            <v>1208.4999999999957</v>
          </cell>
          <cell r="H51">
            <v>331.60000000000025</v>
          </cell>
          <cell r="I51">
            <v>292.79999999999745</v>
          </cell>
        </row>
        <row r="52">
          <cell r="G52">
            <v>350731.75000000012</v>
          </cell>
          <cell r="H52">
            <v>82900.949999999953</v>
          </cell>
          <cell r="I52">
            <v>115836.09999999999</v>
          </cell>
        </row>
        <row r="53">
          <cell r="G53">
            <v>542.37999999999897</v>
          </cell>
        </row>
        <row r="54">
          <cell r="G54">
            <v>140125.15600000008</v>
          </cell>
        </row>
        <row r="55">
          <cell r="G55">
            <v>1076.1000000000004</v>
          </cell>
        </row>
        <row r="56">
          <cell r="G56">
            <v>4817.1000000000004</v>
          </cell>
        </row>
        <row r="57">
          <cell r="G57">
            <v>9973.35</v>
          </cell>
        </row>
        <row r="58">
          <cell r="G58">
            <v>2309.8000000000011</v>
          </cell>
        </row>
        <row r="59">
          <cell r="G59">
            <v>940</v>
          </cell>
        </row>
        <row r="60">
          <cell r="G60">
            <v>1198.6999999999989</v>
          </cell>
          <cell r="H60">
            <v>318.20000000000078</v>
          </cell>
          <cell r="I60">
            <v>327.50000000000313</v>
          </cell>
        </row>
        <row r="61">
          <cell r="G61">
            <v>349252.75</v>
          </cell>
          <cell r="H61">
            <v>99982.70000000007</v>
          </cell>
          <cell r="I61">
            <v>127770.85000000006</v>
          </cell>
        </row>
        <row r="62">
          <cell r="G62">
            <v>623.89000000000124</v>
          </cell>
        </row>
        <row r="63">
          <cell r="G63">
            <v>145378.00000000006</v>
          </cell>
        </row>
        <row r="64">
          <cell r="G64">
            <v>1199.2999999999995</v>
          </cell>
        </row>
        <row r="65">
          <cell r="G65">
            <v>5304.4700000000021</v>
          </cell>
        </row>
        <row r="66">
          <cell r="G66">
            <v>10481.450000000001</v>
          </cell>
        </row>
        <row r="67">
          <cell r="G67">
            <v>2963.2999999999984</v>
          </cell>
        </row>
        <row r="68">
          <cell r="G68">
            <v>950</v>
          </cell>
        </row>
        <row r="69">
          <cell r="G69">
            <v>1360.8000000000027</v>
          </cell>
          <cell r="H69">
            <v>333.80000000000081</v>
          </cell>
          <cell r="I69">
            <v>292.89999999999736</v>
          </cell>
        </row>
        <row r="70">
          <cell r="G70">
            <v>335648.74999999988</v>
          </cell>
          <cell r="H70">
            <v>94021.200000000012</v>
          </cell>
          <cell r="I70">
            <v>125642.19999999998</v>
          </cell>
        </row>
        <row r="71">
          <cell r="G71">
            <v>698.81999999999823</v>
          </cell>
        </row>
        <row r="72">
          <cell r="G72">
            <v>154346.84999999998</v>
          </cell>
        </row>
        <row r="73">
          <cell r="G73">
            <v>1151.0000000000002</v>
          </cell>
        </row>
        <row r="74">
          <cell r="G74">
            <v>5379.63</v>
          </cell>
        </row>
        <row r="75">
          <cell r="G75">
            <v>9382.7900000000009</v>
          </cell>
        </row>
        <row r="76">
          <cell r="G76">
            <v>2739.3999999999974</v>
          </cell>
        </row>
        <row r="77">
          <cell r="G77">
            <v>960</v>
          </cell>
        </row>
        <row r="78">
          <cell r="G78">
            <v>1556.9999999999879</v>
          </cell>
          <cell r="H78">
            <v>412.89999999999964</v>
          </cell>
          <cell r="I78">
            <v>506.10000000000127</v>
          </cell>
        </row>
        <row r="79">
          <cell r="G79">
            <v>297511.65000000002</v>
          </cell>
          <cell r="H79">
            <v>83873.599999999889</v>
          </cell>
          <cell r="I79">
            <v>116610.99999999996</v>
          </cell>
        </row>
        <row r="80">
          <cell r="G80">
            <v>636.49000000000342</v>
          </cell>
        </row>
        <row r="81">
          <cell r="G81">
            <v>147976.74999999997</v>
          </cell>
        </row>
        <row r="82">
          <cell r="G82">
            <v>1110.5999999999985</v>
          </cell>
        </row>
        <row r="83">
          <cell r="G83">
            <v>5716.37</v>
          </cell>
        </row>
        <row r="84">
          <cell r="G84">
            <v>11048.460000000003</v>
          </cell>
        </row>
        <row r="85">
          <cell r="G85">
            <v>2673.3999999999996</v>
          </cell>
        </row>
        <row r="86">
          <cell r="G86">
            <v>994</v>
          </cell>
        </row>
        <row r="87">
          <cell r="G87">
            <v>2157.0000000000118</v>
          </cell>
          <cell r="H87">
            <v>715.99999999999909</v>
          </cell>
          <cell r="I87">
            <v>630.99999999999841</v>
          </cell>
        </row>
        <row r="88">
          <cell r="G88">
            <v>318814.09999999974</v>
          </cell>
          <cell r="H88">
            <v>82738.500000000087</v>
          </cell>
          <cell r="I88">
            <v>109324.75000000003</v>
          </cell>
        </row>
        <row r="89">
          <cell r="G89">
            <v>2338.5099999999966</v>
          </cell>
        </row>
        <row r="90">
          <cell r="G90">
            <v>93006.069999999992</v>
          </cell>
        </row>
        <row r="91">
          <cell r="G91">
            <v>16386.440000000002</v>
          </cell>
        </row>
        <row r="92">
          <cell r="G92">
            <v>43100</v>
          </cell>
        </row>
        <row r="93">
          <cell r="G93">
            <v>1210.8000000000011</v>
          </cell>
        </row>
        <row r="94">
          <cell r="G94">
            <v>5912.33</v>
          </cell>
        </row>
        <row r="95">
          <cell r="G95">
            <v>11821.189999999999</v>
          </cell>
        </row>
        <row r="96">
          <cell r="G96">
            <v>2405.200000000003</v>
          </cell>
        </row>
        <row r="97">
          <cell r="G97">
            <v>994</v>
          </cell>
        </row>
        <row r="98">
          <cell r="G98">
            <v>3105.4999999999995</v>
          </cell>
          <cell r="H98">
            <v>306.20000000000033</v>
          </cell>
          <cell r="I98">
            <v>821.9000000000035</v>
          </cell>
        </row>
        <row r="99">
          <cell r="G99">
            <v>302149.85000000027</v>
          </cell>
          <cell r="H99">
            <v>67655.249999999956</v>
          </cell>
          <cell r="I99">
            <v>92371.600000000049</v>
          </cell>
        </row>
        <row r="100">
          <cell r="G100">
            <v>2176.6600000000008</v>
          </cell>
        </row>
        <row r="101">
          <cell r="G101">
            <v>60584.359999999986</v>
          </cell>
        </row>
        <row r="102">
          <cell r="G102">
            <v>15813.090000000002</v>
          </cell>
        </row>
        <row r="103">
          <cell r="G103">
            <v>36090</v>
          </cell>
        </row>
        <row r="104">
          <cell r="G104">
            <v>1263.1000000000001</v>
          </cell>
        </row>
        <row r="105">
          <cell r="G105">
            <v>6574.7800000000007</v>
          </cell>
        </row>
        <row r="106">
          <cell r="G106">
            <v>12439.670000000002</v>
          </cell>
        </row>
        <row r="107">
          <cell r="G107">
            <v>2797.3999999999969</v>
          </cell>
        </row>
        <row r="108">
          <cell r="G108">
            <v>781.36</v>
          </cell>
        </row>
        <row r="109">
          <cell r="G109">
            <v>5103.7000000000035</v>
          </cell>
          <cell r="H109">
            <v>2167.9000000000005</v>
          </cell>
          <cell r="I109">
            <v>1928.3999999999978</v>
          </cell>
        </row>
        <row r="110">
          <cell r="G110">
            <v>335554.45000000007</v>
          </cell>
          <cell r="H110">
            <v>90882.600000000079</v>
          </cell>
          <cell r="I110">
            <v>113053.34999999999</v>
          </cell>
        </row>
        <row r="111">
          <cell r="G111">
            <v>2546.6699999999983</v>
          </cell>
        </row>
        <row r="112">
          <cell r="G112">
            <v>65380.02</v>
          </cell>
        </row>
        <row r="113">
          <cell r="G113">
            <v>19131.800000000003</v>
          </cell>
        </row>
        <row r="114">
          <cell r="G114">
            <v>32360</v>
          </cell>
        </row>
        <row r="115">
          <cell r="G115">
            <v>1420.6999999999996</v>
          </cell>
        </row>
        <row r="116">
          <cell r="G116">
            <v>6728.300000000002</v>
          </cell>
        </row>
        <row r="117">
          <cell r="G117">
            <v>8556.6500000000015</v>
          </cell>
        </row>
        <row r="118">
          <cell r="G118">
            <v>3115.300000000002</v>
          </cell>
        </row>
        <row r="119">
          <cell r="G119">
            <v>871.38999999999987</v>
          </cell>
        </row>
        <row r="125">
          <cell r="AD125">
            <v>0.56999999999999995</v>
          </cell>
        </row>
        <row r="126">
          <cell r="AD126">
            <v>0.14000000000000001</v>
          </cell>
        </row>
        <row r="127">
          <cell r="AD127">
            <v>0.28999999999999998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singnonsez"/>
      <sheetName val="Commonarea non sez"/>
      <sheetName val="Closingsez"/>
      <sheetName val="Collection %"/>
      <sheetName val="closingnonsez (2)"/>
      <sheetName val="Closingsez (2)"/>
    </sheetNames>
    <sheetDataSet>
      <sheetData sheetId="0"/>
      <sheetData sheetId="1"/>
      <sheetData sheetId="2"/>
      <sheetData sheetId="3">
        <row r="7">
          <cell r="B7">
            <v>259112961.11200005</v>
          </cell>
          <cell r="C7">
            <v>2644686.02</v>
          </cell>
          <cell r="D7">
            <v>5475106.7600000007</v>
          </cell>
          <cell r="E7">
            <v>290116.46666666662</v>
          </cell>
          <cell r="F7">
            <v>295629.05</v>
          </cell>
          <cell r="G7">
            <v>1849241.0833333335</v>
          </cell>
          <cell r="H7">
            <v>7501192.3349007992</v>
          </cell>
          <cell r="I7">
            <v>8549606.6661999989</v>
          </cell>
          <cell r="J7">
            <v>305264231.93166667</v>
          </cell>
          <cell r="K7">
            <v>132764.20000000001</v>
          </cell>
          <cell r="L7">
            <v>939158.57</v>
          </cell>
          <cell r="M7">
            <v>3051798.1</v>
          </cell>
          <cell r="N7">
            <v>987301.47400000005</v>
          </cell>
          <cell r="O7">
            <v>11887619.460000001</v>
          </cell>
          <cell r="P7">
            <v>933653.78999999992</v>
          </cell>
          <cell r="Q7">
            <v>8022481.1389999995</v>
          </cell>
          <cell r="R7">
            <v>65362.099999999991</v>
          </cell>
          <cell r="T7">
            <v>3018253</v>
          </cell>
          <cell r="U7">
            <v>809937.8</v>
          </cell>
        </row>
        <row r="8">
          <cell r="B8">
            <v>20951850.75</v>
          </cell>
          <cell r="C8">
            <v>456652</v>
          </cell>
          <cell r="D8">
            <v>997570</v>
          </cell>
          <cell r="E8">
            <v>0</v>
          </cell>
          <cell r="F8">
            <v>0</v>
          </cell>
          <cell r="G8">
            <v>0</v>
          </cell>
          <cell r="H8">
            <v>234537.1</v>
          </cell>
          <cell r="I8">
            <v>1588962.25</v>
          </cell>
          <cell r="J8">
            <v>29857071.809999999</v>
          </cell>
          <cell r="K8">
            <v>25879</v>
          </cell>
          <cell r="L8">
            <v>97341</v>
          </cell>
          <cell r="M8">
            <v>479788</v>
          </cell>
          <cell r="N8">
            <v>-2179434.66</v>
          </cell>
          <cell r="O8">
            <v>2305799</v>
          </cell>
          <cell r="P8">
            <v>165687</v>
          </cell>
          <cell r="Q8">
            <v>1441436.0200000003</v>
          </cell>
          <cell r="R8">
            <v>-11119</v>
          </cell>
          <cell r="S8">
            <v>0</v>
          </cell>
          <cell r="T8">
            <v>0</v>
          </cell>
          <cell r="U8">
            <v>0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heet P&amp;L"/>
      <sheetName val="Schedules"/>
      <sheetName val="Trial Balance"/>
      <sheetName val="FA"/>
      <sheetName val="Cash Flow "/>
      <sheetName val="Cash Flow  final"/>
    </sheetNames>
    <sheetDataSet>
      <sheetData sheetId="0">
        <row r="10">
          <cell r="C10">
            <v>1024299663</v>
          </cell>
        </row>
        <row r="11">
          <cell r="C11">
            <v>35845457.219999999</v>
          </cell>
        </row>
        <row r="15">
          <cell r="D15">
            <v>-181581825.00000006</v>
          </cell>
        </row>
        <row r="17">
          <cell r="D17">
            <v>9396987</v>
          </cell>
        </row>
        <row r="18">
          <cell r="D18">
            <v>77672198</v>
          </cell>
        </row>
        <row r="20">
          <cell r="D20">
            <v>478623005.35000002</v>
          </cell>
        </row>
        <row r="23">
          <cell r="C23">
            <v>791949910.53999996</v>
          </cell>
        </row>
        <row r="24">
          <cell r="C24">
            <v>152786810.19999999</v>
          </cell>
        </row>
        <row r="25">
          <cell r="D25">
            <v>11314778</v>
          </cell>
        </row>
        <row r="27">
          <cell r="D27">
            <v>50394239</v>
          </cell>
        </row>
        <row r="29">
          <cell r="D29">
            <v>44492704.5</v>
          </cell>
        </row>
        <row r="30">
          <cell r="D30">
            <v>47012145.43</v>
          </cell>
        </row>
        <row r="31">
          <cell r="D31">
            <v>233237</v>
          </cell>
        </row>
        <row r="33">
          <cell r="D33">
            <v>80000</v>
          </cell>
        </row>
        <row r="34">
          <cell r="D34">
            <v>27998309.300000001</v>
          </cell>
        </row>
        <row r="35">
          <cell r="D35">
            <v>800587378</v>
          </cell>
        </row>
        <row r="40">
          <cell r="C40">
            <v>60000</v>
          </cell>
        </row>
        <row r="41">
          <cell r="C41">
            <v>5318738</v>
          </cell>
        </row>
        <row r="42">
          <cell r="C42">
            <v>44031316</v>
          </cell>
        </row>
        <row r="43">
          <cell r="C43">
            <v>12289</v>
          </cell>
        </row>
        <row r="44">
          <cell r="C44">
            <v>127598063</v>
          </cell>
        </row>
      </sheetData>
      <sheetData sheetId="1"/>
      <sheetData sheetId="2"/>
      <sheetData sheetId="3">
        <row r="10">
          <cell r="C10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C1:O24"/>
  <sheetViews>
    <sheetView topLeftCell="B1" workbookViewId="0">
      <selection activeCell="B21" sqref="B21"/>
    </sheetView>
  </sheetViews>
  <sheetFormatPr defaultRowHeight="14.25" x14ac:dyDescent="0.2"/>
  <cols>
    <col min="1" max="2" width="9.140625" style="25"/>
    <col min="3" max="3" width="8.42578125" style="25" customWidth="1"/>
    <col min="4" max="4" width="37.7109375" style="25" customWidth="1"/>
    <col min="5" max="5" width="9.140625" style="25"/>
    <col min="6" max="8" width="13.5703125" style="25" customWidth="1"/>
    <col min="9" max="11" width="9.140625" style="25"/>
    <col min="12" max="12" width="13.140625" style="25" customWidth="1"/>
    <col min="13" max="13" width="10.85546875" style="25" bestFit="1" customWidth="1"/>
    <col min="14" max="14" width="9.85546875" style="25" bestFit="1" customWidth="1"/>
    <col min="15" max="15" width="18" style="25" bestFit="1" customWidth="1"/>
    <col min="16" max="16384" width="9.140625" style="25"/>
  </cols>
  <sheetData>
    <row r="1" spans="3:15" ht="15" thickBot="1" x14ac:dyDescent="0.25">
      <c r="D1" s="25" t="s">
        <v>444</v>
      </c>
    </row>
    <row r="2" spans="3:15" ht="15.75" thickBot="1" x14ac:dyDescent="0.3">
      <c r="C2" s="971" t="s">
        <v>414</v>
      </c>
      <c r="D2" s="972"/>
      <c r="E2" s="972"/>
      <c r="F2" s="972"/>
      <c r="G2" s="972"/>
      <c r="H2" s="973"/>
      <c r="L2" s="977" t="s">
        <v>458</v>
      </c>
      <c r="M2" s="978"/>
      <c r="N2" s="978"/>
      <c r="O2" s="979"/>
    </row>
    <row r="3" spans="3:15" ht="15" thickBot="1" x14ac:dyDescent="0.25">
      <c r="C3" s="974" t="s">
        <v>440</v>
      </c>
      <c r="D3" s="975"/>
      <c r="E3" s="975"/>
      <c r="F3" s="975"/>
      <c r="G3" s="975"/>
      <c r="H3" s="976"/>
    </row>
    <row r="4" spans="3:15" ht="15" thickBot="1" x14ac:dyDescent="0.25">
      <c r="C4" s="27"/>
      <c r="D4" s="28"/>
      <c r="E4" s="28"/>
      <c r="F4" s="28"/>
      <c r="G4" s="28"/>
      <c r="H4" s="29"/>
      <c r="L4" s="44" t="s">
        <v>453</v>
      </c>
      <c r="M4" s="45" t="s">
        <v>461</v>
      </c>
      <c r="N4" s="45" t="s">
        <v>459</v>
      </c>
      <c r="O4" s="46" t="s">
        <v>2</v>
      </c>
    </row>
    <row r="5" spans="3:15" ht="15.75" thickBot="1" x14ac:dyDescent="0.3">
      <c r="C5" s="33" t="s">
        <v>415</v>
      </c>
      <c r="D5" s="34" t="s">
        <v>416</v>
      </c>
      <c r="E5" s="34" t="s">
        <v>417</v>
      </c>
      <c r="F5" s="34" t="s">
        <v>419</v>
      </c>
      <c r="G5" s="34" t="s">
        <v>419</v>
      </c>
      <c r="H5" s="35" t="s">
        <v>418</v>
      </c>
      <c r="L5" s="27" t="s">
        <v>454</v>
      </c>
      <c r="M5" s="28">
        <v>100</v>
      </c>
      <c r="N5" s="39">
        <v>5.5</v>
      </c>
      <c r="O5" s="29" t="s">
        <v>460</v>
      </c>
    </row>
    <row r="6" spans="3:15" x14ac:dyDescent="0.2">
      <c r="C6" s="30">
        <v>1</v>
      </c>
      <c r="D6" s="28" t="s">
        <v>421</v>
      </c>
      <c r="E6" s="28" t="s">
        <v>420</v>
      </c>
      <c r="F6" s="28">
        <v>578</v>
      </c>
      <c r="G6" s="28">
        <v>625</v>
      </c>
      <c r="H6" s="29">
        <v>695</v>
      </c>
      <c r="L6" s="27" t="s">
        <v>455</v>
      </c>
      <c r="M6" s="28">
        <v>75</v>
      </c>
      <c r="N6" s="39">
        <v>5.5</v>
      </c>
      <c r="O6" s="29"/>
    </row>
    <row r="7" spans="3:15" x14ac:dyDescent="0.2">
      <c r="C7" s="30">
        <v>2</v>
      </c>
      <c r="D7" s="28" t="s">
        <v>422</v>
      </c>
      <c r="E7" s="28" t="s">
        <v>24</v>
      </c>
      <c r="F7" s="28">
        <v>75.599999999999994</v>
      </c>
      <c r="G7" s="28">
        <v>81.790000000000006</v>
      </c>
      <c r="H7" s="29">
        <v>88.55</v>
      </c>
      <c r="L7" s="27" t="s">
        <v>485</v>
      </c>
      <c r="M7" s="28">
        <v>150</v>
      </c>
      <c r="N7" s="39">
        <v>5.5</v>
      </c>
      <c r="O7" s="29"/>
    </row>
    <row r="8" spans="3:15" x14ac:dyDescent="0.2">
      <c r="C8" s="30">
        <v>3</v>
      </c>
      <c r="D8" s="28" t="s">
        <v>423</v>
      </c>
      <c r="E8" s="28" t="s">
        <v>424</v>
      </c>
      <c r="F8" s="28">
        <v>3.8</v>
      </c>
      <c r="G8" s="28">
        <v>3.8</v>
      </c>
      <c r="H8" s="29">
        <v>3.8</v>
      </c>
      <c r="L8" s="27" t="s">
        <v>456</v>
      </c>
      <c r="M8" s="28">
        <v>100</v>
      </c>
      <c r="N8" s="39">
        <v>6</v>
      </c>
      <c r="O8" s="29" t="s">
        <v>460</v>
      </c>
    </row>
    <row r="9" spans="3:15" x14ac:dyDescent="0.2">
      <c r="C9" s="30">
        <v>4</v>
      </c>
      <c r="D9" s="28" t="s">
        <v>439</v>
      </c>
      <c r="E9" s="28" t="s">
        <v>24</v>
      </c>
      <c r="F9" s="28">
        <v>78.59</v>
      </c>
      <c r="G9" s="28">
        <v>85.02</v>
      </c>
      <c r="H9" s="29">
        <v>92.05</v>
      </c>
      <c r="L9" s="27" t="s">
        <v>457</v>
      </c>
      <c r="M9" s="28">
        <v>60</v>
      </c>
      <c r="N9" s="39">
        <v>6</v>
      </c>
      <c r="O9" s="29"/>
    </row>
    <row r="10" spans="3:15" x14ac:dyDescent="0.2">
      <c r="C10" s="30">
        <v>5</v>
      </c>
      <c r="D10" s="28" t="s">
        <v>427</v>
      </c>
      <c r="E10" s="28" t="s">
        <v>428</v>
      </c>
      <c r="F10" s="28">
        <v>5.79</v>
      </c>
      <c r="G10" s="28">
        <v>5.84</v>
      </c>
      <c r="H10" s="29">
        <v>5.89</v>
      </c>
      <c r="L10" s="27" t="s">
        <v>486</v>
      </c>
      <c r="M10" s="28">
        <v>125</v>
      </c>
      <c r="N10" s="39">
        <v>6</v>
      </c>
      <c r="O10" s="29"/>
    </row>
    <row r="11" spans="3:15" x14ac:dyDescent="0.2">
      <c r="C11" s="30">
        <v>6</v>
      </c>
      <c r="D11" s="28" t="s">
        <v>425</v>
      </c>
      <c r="E11" s="28" t="s">
        <v>426</v>
      </c>
      <c r="F11" s="31">
        <v>4551.7</v>
      </c>
      <c r="G11" s="31">
        <v>4966.7</v>
      </c>
      <c r="H11" s="32">
        <v>5419.14</v>
      </c>
      <c r="L11" s="27" t="s">
        <v>462</v>
      </c>
      <c r="M11" s="28">
        <v>50</v>
      </c>
      <c r="N11" s="28" t="s">
        <v>467</v>
      </c>
      <c r="O11" s="29" t="s">
        <v>469</v>
      </c>
    </row>
    <row r="12" spans="3:15" x14ac:dyDescent="0.2">
      <c r="C12" s="30">
        <v>7</v>
      </c>
      <c r="D12" s="28" t="s">
        <v>429</v>
      </c>
      <c r="E12" s="28" t="s">
        <v>426</v>
      </c>
      <c r="F12" s="28">
        <v>76.13</v>
      </c>
      <c r="G12" s="28">
        <v>84.4</v>
      </c>
      <c r="H12" s="29">
        <v>92.84</v>
      </c>
      <c r="L12" s="27" t="s">
        <v>463</v>
      </c>
      <c r="M12" s="28">
        <v>70</v>
      </c>
      <c r="N12" s="28" t="s">
        <v>468</v>
      </c>
      <c r="O12" s="29" t="s">
        <v>469</v>
      </c>
    </row>
    <row r="13" spans="3:15" x14ac:dyDescent="0.2">
      <c r="C13" s="30">
        <v>8</v>
      </c>
      <c r="D13" s="28" t="s">
        <v>430</v>
      </c>
      <c r="E13" s="28" t="s">
        <v>426</v>
      </c>
      <c r="F13" s="28">
        <v>121.92</v>
      </c>
      <c r="G13" s="28">
        <v>121.92</v>
      </c>
      <c r="H13" s="29">
        <v>121.92</v>
      </c>
      <c r="L13" s="27" t="s">
        <v>464</v>
      </c>
      <c r="M13" s="28">
        <v>180</v>
      </c>
      <c r="N13" s="28" t="s">
        <v>470</v>
      </c>
      <c r="O13" s="29" t="s">
        <v>469</v>
      </c>
    </row>
    <row r="14" spans="3:15" x14ac:dyDescent="0.2">
      <c r="C14" s="30">
        <v>9</v>
      </c>
      <c r="D14" s="28" t="s">
        <v>431</v>
      </c>
      <c r="E14" s="28" t="s">
        <v>426</v>
      </c>
      <c r="F14" s="28">
        <v>19.829999999999998</v>
      </c>
      <c r="G14" s="28">
        <v>20.99</v>
      </c>
      <c r="H14" s="29">
        <v>22.21</v>
      </c>
      <c r="L14" s="27" t="s">
        <v>465</v>
      </c>
      <c r="M14" s="28">
        <v>60</v>
      </c>
      <c r="N14" s="28" t="s">
        <v>471</v>
      </c>
      <c r="O14" s="29" t="s">
        <v>472</v>
      </c>
    </row>
    <row r="15" spans="3:15" x14ac:dyDescent="0.2">
      <c r="C15" s="30">
        <v>10</v>
      </c>
      <c r="D15" s="28" t="s">
        <v>432</v>
      </c>
      <c r="E15" s="28" t="s">
        <v>426</v>
      </c>
      <c r="F15" s="28">
        <v>100.52</v>
      </c>
      <c r="G15" s="28">
        <v>106.4</v>
      </c>
      <c r="H15" s="29">
        <v>112.63</v>
      </c>
      <c r="L15" s="27" t="s">
        <v>466</v>
      </c>
      <c r="M15" s="28">
        <v>120</v>
      </c>
      <c r="N15" s="28" t="s">
        <v>471</v>
      </c>
      <c r="O15" s="29" t="s">
        <v>472</v>
      </c>
    </row>
    <row r="16" spans="3:15" x14ac:dyDescent="0.2">
      <c r="C16" s="30">
        <v>11</v>
      </c>
      <c r="D16" s="28" t="s">
        <v>433</v>
      </c>
      <c r="E16" s="28" t="s">
        <v>426</v>
      </c>
      <c r="F16" s="28">
        <v>48.77</v>
      </c>
      <c r="G16" s="28">
        <v>51.62</v>
      </c>
      <c r="H16" s="29">
        <v>54.64</v>
      </c>
      <c r="L16" s="27" t="s">
        <v>476</v>
      </c>
      <c r="M16" s="28" t="s">
        <v>473</v>
      </c>
      <c r="N16" s="28" t="s">
        <v>474</v>
      </c>
      <c r="O16" s="29" t="s">
        <v>475</v>
      </c>
    </row>
    <row r="17" spans="3:15" ht="15" thickBot="1" x14ac:dyDescent="0.25">
      <c r="C17" s="30">
        <v>12</v>
      </c>
      <c r="D17" s="28" t="s">
        <v>434</v>
      </c>
      <c r="E17" s="28" t="s">
        <v>426</v>
      </c>
      <c r="F17" s="28">
        <v>39.770000000000003</v>
      </c>
      <c r="G17" s="28">
        <v>36.119999999999997</v>
      </c>
      <c r="H17" s="29">
        <v>32.46</v>
      </c>
      <c r="L17" s="27" t="s">
        <v>477</v>
      </c>
      <c r="M17" s="28">
        <v>60</v>
      </c>
      <c r="N17" s="28" t="s">
        <v>479</v>
      </c>
      <c r="O17" s="29" t="s">
        <v>480</v>
      </c>
    </row>
    <row r="18" spans="3:15" ht="15.75" thickBot="1" x14ac:dyDescent="0.3">
      <c r="C18" s="33">
        <v>13</v>
      </c>
      <c r="D18" s="36" t="s">
        <v>435</v>
      </c>
      <c r="E18" s="36" t="s">
        <v>426</v>
      </c>
      <c r="F18" s="36">
        <v>4959.24</v>
      </c>
      <c r="G18" s="36">
        <v>5388.15</v>
      </c>
      <c r="H18" s="37">
        <v>5856.1</v>
      </c>
      <c r="L18" s="27" t="s">
        <v>478</v>
      </c>
      <c r="M18" s="28">
        <v>120</v>
      </c>
      <c r="N18" s="28" t="s">
        <v>481</v>
      </c>
      <c r="O18" s="29" t="s">
        <v>480</v>
      </c>
    </row>
    <row r="19" spans="3:15" x14ac:dyDescent="0.2">
      <c r="C19" s="30">
        <v>14</v>
      </c>
      <c r="D19" s="28" t="s">
        <v>436</v>
      </c>
      <c r="E19" s="28" t="s">
        <v>426</v>
      </c>
      <c r="F19" s="28">
        <v>5170.1899999999996</v>
      </c>
      <c r="G19" s="28">
        <v>5670.43</v>
      </c>
      <c r="H19" s="29">
        <v>6128.22</v>
      </c>
      <c r="L19" s="27" t="s">
        <v>482</v>
      </c>
      <c r="M19" s="28">
        <v>40</v>
      </c>
      <c r="N19" s="28" t="s">
        <v>483</v>
      </c>
      <c r="O19" s="29" t="s">
        <v>484</v>
      </c>
    </row>
    <row r="20" spans="3:15" ht="15" thickBot="1" x14ac:dyDescent="0.25">
      <c r="C20" s="30">
        <v>15</v>
      </c>
      <c r="D20" s="28" t="s">
        <v>437</v>
      </c>
      <c r="E20" s="28" t="s">
        <v>426</v>
      </c>
      <c r="F20" s="28">
        <v>44.05</v>
      </c>
      <c r="G20" s="28">
        <v>45.21</v>
      </c>
      <c r="H20" s="29">
        <v>46.48</v>
      </c>
      <c r="L20" s="27" t="s">
        <v>487</v>
      </c>
      <c r="M20" s="28">
        <v>40</v>
      </c>
      <c r="N20" s="39">
        <v>3.9</v>
      </c>
      <c r="O20" s="29" t="s">
        <v>460</v>
      </c>
    </row>
    <row r="21" spans="3:15" ht="15.75" thickBot="1" x14ac:dyDescent="0.3">
      <c r="C21" s="33">
        <v>16</v>
      </c>
      <c r="D21" s="36" t="s">
        <v>438</v>
      </c>
      <c r="E21" s="36" t="s">
        <v>426</v>
      </c>
      <c r="F21" s="36">
        <v>255</v>
      </c>
      <c r="G21" s="36">
        <v>327.49</v>
      </c>
      <c r="H21" s="37">
        <v>318.60000000000002</v>
      </c>
      <c r="L21" s="40" t="s">
        <v>301</v>
      </c>
      <c r="M21" s="41">
        <v>125</v>
      </c>
      <c r="N21" s="42">
        <v>6</v>
      </c>
      <c r="O21" s="43"/>
    </row>
    <row r="22" spans="3:15" x14ac:dyDescent="0.2">
      <c r="L22" s="48" t="s">
        <v>490</v>
      </c>
      <c r="M22" s="49">
        <v>300</v>
      </c>
      <c r="N22" s="49">
        <v>5.8</v>
      </c>
      <c r="O22" s="50"/>
    </row>
    <row r="23" spans="3:15" x14ac:dyDescent="0.2">
      <c r="L23" s="27" t="s">
        <v>491</v>
      </c>
      <c r="M23" s="28">
        <v>350</v>
      </c>
      <c r="N23" s="28">
        <v>5.4</v>
      </c>
      <c r="O23" s="29"/>
    </row>
    <row r="24" spans="3:15" ht="15" thickBot="1" x14ac:dyDescent="0.25">
      <c r="L24" s="40" t="s">
        <v>492</v>
      </c>
      <c r="M24" s="41">
        <v>400</v>
      </c>
      <c r="N24" s="41" t="s">
        <v>493</v>
      </c>
      <c r="O24" s="43" t="s">
        <v>494</v>
      </c>
    </row>
  </sheetData>
  <mergeCells count="3">
    <mergeCell ref="C2:H2"/>
    <mergeCell ref="C3:H3"/>
    <mergeCell ref="L2:O2"/>
  </mergeCells>
  <phoneticPr fontId="1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  <pageSetUpPr fitToPage="1"/>
  </sheetPr>
  <dimension ref="A1:G84"/>
  <sheetViews>
    <sheetView topLeftCell="A70" workbookViewId="0">
      <selection sqref="A1:G79"/>
    </sheetView>
  </sheetViews>
  <sheetFormatPr defaultRowHeight="15.75" x14ac:dyDescent="0.25"/>
  <cols>
    <col min="1" max="1" width="7.28515625" style="252" bestFit="1" customWidth="1"/>
    <col min="2" max="2" width="41.140625" style="252" bestFit="1" customWidth="1"/>
    <col min="3" max="3" width="11.42578125" style="252" bestFit="1" customWidth="1"/>
    <col min="4" max="6" width="13.42578125" style="252" bestFit="1" customWidth="1"/>
    <col min="7" max="7" width="10.28515625" style="252" bestFit="1" customWidth="1"/>
    <col min="8" max="16384" width="9.140625" style="252"/>
  </cols>
  <sheetData>
    <row r="1" spans="1:7" ht="17.25" thickBot="1" x14ac:dyDescent="0.35">
      <c r="A1" s="1033" t="s">
        <v>547</v>
      </c>
      <c r="B1" s="1034"/>
      <c r="C1" s="1034"/>
      <c r="D1" s="1034"/>
      <c r="E1" s="1034"/>
      <c r="F1" s="1034"/>
      <c r="G1" s="1035"/>
    </row>
    <row r="2" spans="1:7" ht="16.5" thickBot="1" x14ac:dyDescent="0.3">
      <c r="A2" s="1027" t="s">
        <v>533</v>
      </c>
      <c r="B2" s="1028"/>
      <c r="C2" s="1028"/>
      <c r="D2" s="1028"/>
      <c r="E2" s="1028"/>
      <c r="F2" s="1028"/>
      <c r="G2" s="1029"/>
    </row>
    <row r="3" spans="1:7" ht="16.5" thickBot="1" x14ac:dyDescent="0.3">
      <c r="A3" s="1027" t="s">
        <v>534</v>
      </c>
      <c r="B3" s="1028"/>
      <c r="C3" s="1028"/>
      <c r="D3" s="1028"/>
      <c r="E3" s="1028"/>
      <c r="F3" s="1028"/>
      <c r="G3" s="1029"/>
    </row>
    <row r="4" spans="1:7" ht="16.5" x14ac:dyDescent="0.25">
      <c r="A4" s="1036" t="s">
        <v>535</v>
      </c>
      <c r="B4" s="1038" t="s">
        <v>1</v>
      </c>
      <c r="C4" s="1038" t="s">
        <v>120</v>
      </c>
      <c r="D4" s="422" t="s">
        <v>402</v>
      </c>
      <c r="E4" s="422" t="s">
        <v>402</v>
      </c>
      <c r="F4" s="422" t="s">
        <v>392</v>
      </c>
      <c r="G4" s="423" t="s">
        <v>2</v>
      </c>
    </row>
    <row r="5" spans="1:7" ht="33" x14ac:dyDescent="0.25">
      <c r="A5" s="1037"/>
      <c r="B5" s="1039"/>
      <c r="C5" s="1039"/>
      <c r="D5" s="424" t="s">
        <v>3</v>
      </c>
      <c r="E5" s="424" t="s">
        <v>687</v>
      </c>
      <c r="F5" s="424" t="s">
        <v>3</v>
      </c>
      <c r="G5" s="425"/>
    </row>
    <row r="6" spans="1:7" ht="17.25" thickBot="1" x14ac:dyDescent="0.3">
      <c r="A6" s="426">
        <v>1</v>
      </c>
      <c r="B6" s="427">
        <v>2</v>
      </c>
      <c r="C6" s="427">
        <v>3</v>
      </c>
      <c r="D6" s="428">
        <v>4</v>
      </c>
      <c r="E6" s="427">
        <v>5</v>
      </c>
      <c r="F6" s="427">
        <v>6</v>
      </c>
      <c r="G6" s="429">
        <v>7</v>
      </c>
    </row>
    <row r="7" spans="1:7" x14ac:dyDescent="0.25">
      <c r="A7" s="430">
        <v>1</v>
      </c>
      <c r="B7" s="431" t="s">
        <v>536</v>
      </c>
      <c r="C7" s="432"/>
      <c r="D7" s="478">
        <f>D28/10^5</f>
        <v>21.808857599999996</v>
      </c>
      <c r="E7" s="478">
        <f>E28/10^5</f>
        <v>22.21</v>
      </c>
      <c r="F7" s="478">
        <v>18.140314485714285</v>
      </c>
      <c r="G7" s="433"/>
    </row>
    <row r="8" spans="1:7" x14ac:dyDescent="0.25">
      <c r="A8" s="434">
        <v>2</v>
      </c>
      <c r="B8" s="435" t="s">
        <v>537</v>
      </c>
      <c r="C8" s="436"/>
      <c r="D8" s="479">
        <f>D67/10^5</f>
        <v>380.27037260000003</v>
      </c>
      <c r="E8" s="479">
        <f>E67/10^5</f>
        <v>112.63</v>
      </c>
      <c r="F8" s="479">
        <v>227.33476999999999</v>
      </c>
      <c r="G8" s="437"/>
    </row>
    <row r="9" spans="1:7" x14ac:dyDescent="0.25">
      <c r="A9" s="434">
        <v>3</v>
      </c>
      <c r="B9" s="435" t="s">
        <v>538</v>
      </c>
      <c r="C9" s="436"/>
      <c r="D9" s="479">
        <f>D53/10^5</f>
        <v>194.80755009999999</v>
      </c>
      <c r="E9" s="479">
        <f>E53/10^5</f>
        <v>54.64</v>
      </c>
      <c r="F9" s="479">
        <v>330.69202999999999</v>
      </c>
      <c r="G9" s="437"/>
    </row>
    <row r="10" spans="1:7" ht="16.5" x14ac:dyDescent="0.3">
      <c r="A10" s="438">
        <v>4</v>
      </c>
      <c r="B10" s="439" t="s">
        <v>539</v>
      </c>
      <c r="C10" s="440"/>
      <c r="D10" s="480">
        <f>(D28+D53+D67)/10^5</f>
        <v>596.88678030000005</v>
      </c>
      <c r="E10" s="480">
        <f>(E28+E53+E67)/10^5</f>
        <v>189.48</v>
      </c>
      <c r="F10" s="480">
        <v>576.16711448571425</v>
      </c>
      <c r="G10" s="441"/>
    </row>
    <row r="12" spans="1:7" ht="16.5" thickBot="1" x14ac:dyDescent="0.3">
      <c r="B12" s="252" t="s">
        <v>540</v>
      </c>
    </row>
    <row r="13" spans="1:7" ht="17.25" thickBot="1" x14ac:dyDescent="0.35">
      <c r="A13" s="1033" t="s">
        <v>541</v>
      </c>
      <c r="B13" s="1034"/>
      <c r="C13" s="1034"/>
      <c r="D13" s="1034"/>
      <c r="E13" s="1034"/>
      <c r="F13" s="1034"/>
      <c r="G13" s="1035"/>
    </row>
    <row r="14" spans="1:7" ht="16.5" thickBot="1" x14ac:dyDescent="0.3">
      <c r="A14" s="1027" t="s">
        <v>533</v>
      </c>
      <c r="B14" s="1028"/>
      <c r="C14" s="1028"/>
      <c r="D14" s="1028"/>
      <c r="E14" s="1028"/>
      <c r="F14" s="1028"/>
      <c r="G14" s="1029"/>
    </row>
    <row r="15" spans="1:7" ht="16.5" thickBot="1" x14ac:dyDescent="0.3">
      <c r="A15" s="1040" t="s">
        <v>542</v>
      </c>
      <c r="B15" s="1041"/>
      <c r="C15" s="1041"/>
      <c r="D15" s="1041"/>
      <c r="E15" s="1041"/>
      <c r="F15" s="1041"/>
      <c r="G15" s="1042"/>
    </row>
    <row r="16" spans="1:7" ht="16.5" x14ac:dyDescent="0.25">
      <c r="A16" s="1043" t="s">
        <v>27</v>
      </c>
      <c r="B16" s="1045" t="s">
        <v>1</v>
      </c>
      <c r="C16" s="1045" t="s">
        <v>120</v>
      </c>
      <c r="D16" s="442" t="s">
        <v>402</v>
      </c>
      <c r="E16" s="442" t="s">
        <v>402</v>
      </c>
      <c r="F16" s="442" t="s">
        <v>392</v>
      </c>
      <c r="G16" s="1047" t="s">
        <v>2</v>
      </c>
    </row>
    <row r="17" spans="1:7" ht="33" x14ac:dyDescent="0.25">
      <c r="A17" s="1044"/>
      <c r="B17" s="1046"/>
      <c r="C17" s="1046"/>
      <c r="D17" s="424" t="s">
        <v>3</v>
      </c>
      <c r="E17" s="424" t="s">
        <v>687</v>
      </c>
      <c r="F17" s="424" t="s">
        <v>3</v>
      </c>
      <c r="G17" s="1048"/>
    </row>
    <row r="18" spans="1:7" ht="16.5" x14ac:dyDescent="0.25">
      <c r="A18" s="443">
        <v>1</v>
      </c>
      <c r="B18" s="444">
        <v>2</v>
      </c>
      <c r="C18" s="444">
        <v>3</v>
      </c>
      <c r="D18" s="444">
        <v>4</v>
      </c>
      <c r="E18" s="444">
        <v>5</v>
      </c>
      <c r="F18" s="445">
        <v>6</v>
      </c>
      <c r="G18" s="446">
        <v>7</v>
      </c>
    </row>
    <row r="19" spans="1:7" x14ac:dyDescent="0.25">
      <c r="A19" s="447">
        <v>1</v>
      </c>
      <c r="B19" s="448" t="s">
        <v>42</v>
      </c>
      <c r="C19" s="448"/>
      <c r="D19" s="481">
        <v>845230</v>
      </c>
      <c r="E19" s="481"/>
      <c r="F19" s="481">
        <v>847121</v>
      </c>
      <c r="G19" s="449"/>
    </row>
    <row r="20" spans="1:7" x14ac:dyDescent="0.25">
      <c r="A20" s="447">
        <v>2</v>
      </c>
      <c r="B20" s="448" t="s">
        <v>43</v>
      </c>
      <c r="C20" s="448"/>
      <c r="D20" s="481">
        <v>1079774</v>
      </c>
      <c r="E20" s="481"/>
      <c r="F20" s="481">
        <v>728283</v>
      </c>
      <c r="G20" s="449"/>
    </row>
    <row r="21" spans="1:7" x14ac:dyDescent="0.25">
      <c r="A21" s="447">
        <v>3</v>
      </c>
      <c r="B21" s="448" t="s">
        <v>44</v>
      </c>
      <c r="C21" s="448"/>
      <c r="D21" s="481">
        <v>24092</v>
      </c>
      <c r="E21" s="481"/>
      <c r="F21" s="481">
        <v>14040</v>
      </c>
      <c r="G21" s="449"/>
    </row>
    <row r="22" spans="1:7" x14ac:dyDescent="0.25">
      <c r="A22" s="447">
        <v>4</v>
      </c>
      <c r="B22" s="448" t="s">
        <v>300</v>
      </c>
      <c r="C22" s="448"/>
      <c r="D22" s="481">
        <v>3785</v>
      </c>
      <c r="E22" s="481"/>
      <c r="F22" s="481">
        <v>2136</v>
      </c>
      <c r="G22" s="449"/>
    </row>
    <row r="23" spans="1:7" x14ac:dyDescent="0.25">
      <c r="A23" s="447">
        <v>5</v>
      </c>
      <c r="B23" s="448" t="s">
        <v>45</v>
      </c>
      <c r="C23" s="448"/>
      <c r="D23" s="481">
        <v>129338</v>
      </c>
      <c r="E23" s="481"/>
      <c r="F23" s="481">
        <v>71794</v>
      </c>
      <c r="G23" s="449"/>
    </row>
    <row r="24" spans="1:7" x14ac:dyDescent="0.25">
      <c r="A24" s="447">
        <v>6</v>
      </c>
      <c r="B24" s="448" t="s">
        <v>46</v>
      </c>
      <c r="C24" s="448"/>
      <c r="D24" s="491">
        <v>98666.76</v>
      </c>
      <c r="E24" s="491"/>
      <c r="F24" s="491">
        <v>136917.44857142901</v>
      </c>
      <c r="G24" s="449"/>
    </row>
    <row r="25" spans="1:7" x14ac:dyDescent="0.25">
      <c r="A25" s="447">
        <v>7</v>
      </c>
      <c r="B25" s="450" t="s">
        <v>47</v>
      </c>
      <c r="C25" s="448"/>
      <c r="D25" s="491"/>
      <c r="E25" s="491"/>
      <c r="F25" s="491">
        <v>13740</v>
      </c>
      <c r="G25" s="449"/>
    </row>
    <row r="26" spans="1:7" ht="16.5" x14ac:dyDescent="0.25">
      <c r="A26" s="443">
        <v>9</v>
      </c>
      <c r="B26" s="451" t="s">
        <v>48</v>
      </c>
      <c r="C26" s="451"/>
      <c r="D26" s="482">
        <f>SUM(D19:D25)</f>
        <v>2180885.7599999998</v>
      </c>
      <c r="E26" s="482">
        <f>SUM(E19:E25)</f>
        <v>0</v>
      </c>
      <c r="F26" s="482">
        <f>SUM(F19:F25)</f>
        <v>1814031.4485714291</v>
      </c>
      <c r="G26" s="452"/>
    </row>
    <row r="27" spans="1:7" ht="16.5" x14ac:dyDescent="0.25">
      <c r="A27" s="453">
        <v>10</v>
      </c>
      <c r="B27" s="454" t="s">
        <v>49</v>
      </c>
      <c r="C27" s="455"/>
      <c r="D27" s="483"/>
      <c r="E27" s="483"/>
      <c r="F27" s="483"/>
      <c r="G27" s="456"/>
    </row>
    <row r="28" spans="1:7" ht="17.25" thickBot="1" x14ac:dyDescent="0.3">
      <c r="A28" s="457">
        <v>11</v>
      </c>
      <c r="B28" s="458" t="s">
        <v>50</v>
      </c>
      <c r="C28" s="458"/>
      <c r="D28" s="484">
        <f>D26-D27</f>
        <v>2180885.7599999998</v>
      </c>
      <c r="E28" s="484">
        <v>2221000</v>
      </c>
      <c r="F28" s="484">
        <f>F26-F27</f>
        <v>1814031.4485714291</v>
      </c>
      <c r="G28" s="459"/>
    </row>
    <row r="30" spans="1:7" ht="16.5" thickBot="1" x14ac:dyDescent="0.3"/>
    <row r="31" spans="1:7" ht="17.25" thickBot="1" x14ac:dyDescent="0.35">
      <c r="A31" s="1033" t="s">
        <v>543</v>
      </c>
      <c r="B31" s="1034"/>
      <c r="C31" s="1034"/>
      <c r="D31" s="1034"/>
      <c r="E31" s="1034"/>
      <c r="F31" s="1034"/>
      <c r="G31" s="1035"/>
    </row>
    <row r="32" spans="1:7" ht="16.5" thickBot="1" x14ac:dyDescent="0.3">
      <c r="A32" s="1027" t="s">
        <v>533</v>
      </c>
      <c r="B32" s="1028"/>
      <c r="C32" s="1028"/>
      <c r="D32" s="1028"/>
      <c r="E32" s="1028"/>
      <c r="F32" s="1028"/>
      <c r="G32" s="1029"/>
    </row>
    <row r="33" spans="1:7" ht="16.5" thickBot="1" x14ac:dyDescent="0.3">
      <c r="A33" s="1040" t="s">
        <v>542</v>
      </c>
      <c r="B33" s="1041"/>
      <c r="C33" s="1041"/>
      <c r="D33" s="1041"/>
      <c r="E33" s="1041"/>
      <c r="F33" s="1041"/>
      <c r="G33" s="1042"/>
    </row>
    <row r="34" spans="1:7" ht="16.5" x14ac:dyDescent="0.25">
      <c r="A34" s="1043" t="s">
        <v>27</v>
      </c>
      <c r="B34" s="1045" t="s">
        <v>1</v>
      </c>
      <c r="C34" s="1045" t="s">
        <v>41</v>
      </c>
      <c r="D34" s="442" t="s">
        <v>402</v>
      </c>
      <c r="E34" s="442" t="s">
        <v>402</v>
      </c>
      <c r="F34" s="442" t="s">
        <v>392</v>
      </c>
      <c r="G34" s="470" t="s">
        <v>2</v>
      </c>
    </row>
    <row r="35" spans="1:7" ht="33" x14ac:dyDescent="0.25">
      <c r="A35" s="1044"/>
      <c r="B35" s="1046"/>
      <c r="C35" s="1046"/>
      <c r="D35" s="424" t="s">
        <v>3</v>
      </c>
      <c r="E35" s="424" t="s">
        <v>687</v>
      </c>
      <c r="F35" s="424" t="s">
        <v>3</v>
      </c>
      <c r="G35" s="446"/>
    </row>
    <row r="36" spans="1:7" ht="17.25" thickBot="1" x14ac:dyDescent="0.3">
      <c r="A36" s="460">
        <v>1</v>
      </c>
      <c r="B36" s="461">
        <v>2</v>
      </c>
      <c r="C36" s="461">
        <v>3</v>
      </c>
      <c r="D36" s="461">
        <v>4</v>
      </c>
      <c r="E36" s="461">
        <v>5</v>
      </c>
      <c r="F36" s="461">
        <v>6</v>
      </c>
      <c r="G36" s="462">
        <v>7</v>
      </c>
    </row>
    <row r="37" spans="1:7" x14ac:dyDescent="0.25">
      <c r="A37" s="463">
        <v>1</v>
      </c>
      <c r="B37" s="464" t="s">
        <v>51</v>
      </c>
      <c r="C37" s="464"/>
      <c r="D37" s="488">
        <v>92027</v>
      </c>
      <c r="E37" s="246"/>
      <c r="F37" s="488">
        <v>120780</v>
      </c>
      <c r="G37" s="465"/>
    </row>
    <row r="38" spans="1:7" x14ac:dyDescent="0.25">
      <c r="A38" s="447">
        <v>2</v>
      </c>
      <c r="B38" s="448" t="s">
        <v>52</v>
      </c>
      <c r="C38" s="448"/>
      <c r="D38" s="481">
        <v>60778</v>
      </c>
      <c r="E38" s="247"/>
      <c r="F38" s="481">
        <v>61432</v>
      </c>
      <c r="G38" s="449"/>
    </row>
    <row r="39" spans="1:7" x14ac:dyDescent="0.25">
      <c r="A39" s="447">
        <v>3</v>
      </c>
      <c r="B39" s="448" t="s">
        <v>703</v>
      </c>
      <c r="C39" s="448"/>
      <c r="D39" s="481">
        <f>30000</f>
        <v>30000</v>
      </c>
      <c r="E39" s="247"/>
      <c r="F39" s="481">
        <v>20000</v>
      </c>
      <c r="G39" s="449"/>
    </row>
    <row r="40" spans="1:7" x14ac:dyDescent="0.25">
      <c r="A40" s="463">
        <v>4</v>
      </c>
      <c r="B40" s="448" t="s">
        <v>721</v>
      </c>
      <c r="C40" s="448"/>
      <c r="D40" s="481">
        <v>74250</v>
      </c>
      <c r="E40" s="247"/>
      <c r="F40" s="481">
        <v>0</v>
      </c>
      <c r="G40" s="449"/>
    </row>
    <row r="41" spans="1:7" x14ac:dyDescent="0.25">
      <c r="A41" s="447">
        <v>5</v>
      </c>
      <c r="B41" s="448" t="s">
        <v>53</v>
      </c>
      <c r="C41" s="448"/>
      <c r="D41" s="481">
        <v>190000</v>
      </c>
      <c r="E41" s="247"/>
      <c r="F41" s="481">
        <v>1162407</v>
      </c>
      <c r="G41" s="449"/>
    </row>
    <row r="42" spans="1:7" x14ac:dyDescent="0.25">
      <c r="A42" s="447">
        <v>6</v>
      </c>
      <c r="B42" s="448" t="s">
        <v>54</v>
      </c>
      <c r="C42" s="448"/>
      <c r="D42" s="481">
        <v>621482</v>
      </c>
      <c r="E42" s="247"/>
      <c r="F42" s="481">
        <v>646370</v>
      </c>
      <c r="G42" s="449"/>
    </row>
    <row r="43" spans="1:7" x14ac:dyDescent="0.25">
      <c r="A43" s="463">
        <v>7</v>
      </c>
      <c r="B43" s="455" t="s">
        <v>55</v>
      </c>
      <c r="C43" s="448"/>
      <c r="D43" s="481">
        <v>1207301</v>
      </c>
      <c r="E43" s="247"/>
      <c r="F43" s="481">
        <v>1185341</v>
      </c>
      <c r="G43" s="449"/>
    </row>
    <row r="44" spans="1:7" x14ac:dyDescent="0.25">
      <c r="A44" s="447">
        <v>8</v>
      </c>
      <c r="B44" s="455" t="s">
        <v>56</v>
      </c>
      <c r="C44" s="448"/>
      <c r="D44" s="481">
        <v>17202</v>
      </c>
      <c r="E44" s="247"/>
      <c r="F44" s="481">
        <v>31850</v>
      </c>
      <c r="G44" s="449"/>
    </row>
    <row r="45" spans="1:7" x14ac:dyDescent="0.25">
      <c r="A45" s="447">
        <v>9</v>
      </c>
      <c r="B45" s="450" t="s">
        <v>57</v>
      </c>
      <c r="C45" s="448"/>
      <c r="D45" s="481">
        <v>160720.5</v>
      </c>
      <c r="E45" s="247"/>
      <c r="F45" s="481">
        <v>1376</v>
      </c>
      <c r="G45" s="449"/>
    </row>
    <row r="46" spans="1:7" x14ac:dyDescent="0.25">
      <c r="A46" s="463">
        <v>10</v>
      </c>
      <c r="B46" s="450" t="s">
        <v>58</v>
      </c>
      <c r="C46" s="448"/>
      <c r="D46" s="481">
        <v>1022695.51</v>
      </c>
      <c r="E46" s="247"/>
      <c r="F46" s="481">
        <v>94714</v>
      </c>
      <c r="G46" s="449"/>
    </row>
    <row r="47" spans="1:7" x14ac:dyDescent="0.25">
      <c r="A47" s="447">
        <v>11</v>
      </c>
      <c r="B47" s="450" t="s">
        <v>544</v>
      </c>
      <c r="C47" s="448"/>
      <c r="D47" s="481">
        <v>0</v>
      </c>
      <c r="E47" s="247"/>
      <c r="F47" s="481">
        <v>1236510</v>
      </c>
      <c r="G47" s="449"/>
    </row>
    <row r="48" spans="1:7" x14ac:dyDescent="0.25">
      <c r="A48" s="447">
        <v>12</v>
      </c>
      <c r="B48" s="448" t="s">
        <v>59</v>
      </c>
      <c r="C48" s="448"/>
      <c r="D48" s="481">
        <v>9873644</v>
      </c>
      <c r="E48" s="247"/>
      <c r="F48" s="481">
        <v>8543844</v>
      </c>
      <c r="G48" s="449"/>
    </row>
    <row r="49" spans="1:7" x14ac:dyDescent="0.25">
      <c r="A49" s="463">
        <v>13</v>
      </c>
      <c r="B49" s="448" t="s">
        <v>689</v>
      </c>
      <c r="C49" s="448"/>
      <c r="D49" s="489">
        <f>988870+10048</f>
        <v>998918</v>
      </c>
      <c r="E49" s="490"/>
      <c r="F49" s="489">
        <v>4659955</v>
      </c>
      <c r="G49" s="449"/>
    </row>
    <row r="50" spans="1:7" ht="16.5" x14ac:dyDescent="0.25">
      <c r="A50" s="466">
        <v>14</v>
      </c>
      <c r="B50" s="451" t="s">
        <v>60</v>
      </c>
      <c r="C50" s="451"/>
      <c r="D50" s="485">
        <f>SUM(D37:D49)</f>
        <v>14349018.01</v>
      </c>
      <c r="E50" s="485">
        <f>SUM(E37:E49)</f>
        <v>0</v>
      </c>
      <c r="F50" s="485">
        <v>17764579</v>
      </c>
      <c r="G50" s="452"/>
    </row>
    <row r="51" spans="1:7" ht="16.5" x14ac:dyDescent="0.25">
      <c r="A51" s="447">
        <v>15</v>
      </c>
      <c r="B51" s="467" t="s">
        <v>61</v>
      </c>
      <c r="C51" s="454"/>
      <c r="D51" s="481">
        <v>5131737</v>
      </c>
      <c r="E51" s="247"/>
      <c r="F51" s="481">
        <v>4968898</v>
      </c>
      <c r="G51" s="449"/>
    </row>
    <row r="52" spans="1:7" x14ac:dyDescent="0.25">
      <c r="A52" s="447">
        <v>16</v>
      </c>
      <c r="B52" s="455" t="s">
        <v>49</v>
      </c>
      <c r="C52" s="455"/>
      <c r="D52" s="481"/>
      <c r="E52" s="247"/>
      <c r="F52" s="481"/>
      <c r="G52" s="449"/>
    </row>
    <row r="53" spans="1:7" ht="17.25" thickBot="1" x14ac:dyDescent="0.35">
      <c r="A53" s="457">
        <v>17</v>
      </c>
      <c r="B53" s="458" t="s">
        <v>62</v>
      </c>
      <c r="C53" s="458"/>
      <c r="D53" s="486">
        <f>D50+D51-D52</f>
        <v>19480755.009999998</v>
      </c>
      <c r="E53" s="487">
        <v>5464000</v>
      </c>
      <c r="F53" s="486">
        <v>22733477</v>
      </c>
      <c r="G53" s="459"/>
    </row>
    <row r="54" spans="1:7" x14ac:dyDescent="0.25">
      <c r="A54" s="254"/>
      <c r="B54" s="254"/>
      <c r="C54" s="254"/>
      <c r="D54" s="254"/>
      <c r="E54" s="254"/>
      <c r="F54" s="254"/>
      <c r="G54" s="468"/>
    </row>
    <row r="55" spans="1:7" ht="17.25" thickBot="1" x14ac:dyDescent="0.35">
      <c r="A55" s="1049"/>
      <c r="B55" s="1049"/>
      <c r="C55" s="1049"/>
      <c r="D55" s="1049"/>
      <c r="E55" s="1049"/>
      <c r="F55" s="1049"/>
      <c r="G55" s="468"/>
    </row>
    <row r="56" spans="1:7" ht="17.25" thickBot="1" x14ac:dyDescent="0.35">
      <c r="A56" s="1050" t="s">
        <v>545</v>
      </c>
      <c r="B56" s="1051"/>
      <c r="C56" s="1051"/>
      <c r="D56" s="1051"/>
      <c r="E56" s="1051"/>
      <c r="F56" s="1051"/>
      <c r="G56" s="1052"/>
    </row>
    <row r="57" spans="1:7" ht="16.5" thickBot="1" x14ac:dyDescent="0.3">
      <c r="A57" s="1027" t="s">
        <v>360</v>
      </c>
      <c r="B57" s="1028"/>
      <c r="C57" s="1028"/>
      <c r="D57" s="1028"/>
      <c r="E57" s="1028"/>
      <c r="F57" s="1028"/>
      <c r="G57" s="1029"/>
    </row>
    <row r="58" spans="1:7" ht="16.5" thickBot="1" x14ac:dyDescent="0.3">
      <c r="A58" s="1040" t="s">
        <v>546</v>
      </c>
      <c r="B58" s="1041"/>
      <c r="C58" s="1041"/>
      <c r="D58" s="1041"/>
      <c r="E58" s="1041"/>
      <c r="F58" s="1041"/>
      <c r="G58" s="1042"/>
    </row>
    <row r="59" spans="1:7" ht="16.5" x14ac:dyDescent="0.3">
      <c r="A59" s="1043" t="s">
        <v>445</v>
      </c>
      <c r="B59" s="1045" t="s">
        <v>1</v>
      </c>
      <c r="C59" s="1045" t="s">
        <v>120</v>
      </c>
      <c r="D59" s="442" t="s">
        <v>402</v>
      </c>
      <c r="E59" s="469" t="s">
        <v>402</v>
      </c>
      <c r="F59" s="442" t="s">
        <v>392</v>
      </c>
      <c r="G59" s="470" t="s">
        <v>2</v>
      </c>
    </row>
    <row r="60" spans="1:7" ht="33" x14ac:dyDescent="0.25">
      <c r="A60" s="1044"/>
      <c r="B60" s="1046"/>
      <c r="C60" s="1046"/>
      <c r="D60" s="424" t="s">
        <v>3</v>
      </c>
      <c r="E60" s="424" t="s">
        <v>687</v>
      </c>
      <c r="F60" s="424" t="s">
        <v>3</v>
      </c>
      <c r="G60" s="446"/>
    </row>
    <row r="61" spans="1:7" ht="16.5" x14ac:dyDescent="0.25">
      <c r="A61" s="443">
        <v>1</v>
      </c>
      <c r="B61" s="444">
        <v>2</v>
      </c>
      <c r="C61" s="444">
        <v>3</v>
      </c>
      <c r="D61" s="444">
        <v>4</v>
      </c>
      <c r="E61" s="444">
        <v>5</v>
      </c>
      <c r="F61" s="444">
        <v>6</v>
      </c>
      <c r="G61" s="446">
        <v>7</v>
      </c>
    </row>
    <row r="62" spans="1:7" ht="16.5" x14ac:dyDescent="0.25">
      <c r="A62" s="472">
        <v>1</v>
      </c>
      <c r="B62" s="473" t="s">
        <v>690</v>
      </c>
      <c r="C62" s="474"/>
      <c r="D62" s="919">
        <f>+[4]Schedules!$B$58+[4]Schedules!$B$59</f>
        <v>27668888.940000001</v>
      </c>
      <c r="E62" s="920"/>
      <c r="F62" s="920"/>
      <c r="G62" s="921"/>
    </row>
    <row r="63" spans="1:7" ht="16.5" x14ac:dyDescent="0.25">
      <c r="A63" s="472">
        <v>2</v>
      </c>
      <c r="B63" s="473" t="s">
        <v>691</v>
      </c>
      <c r="C63" s="474"/>
      <c r="D63" s="919">
        <f>+[4]Schedules!$B$55+[4]Schedules!$B$57+[4]Schedules!$B$60</f>
        <v>7656628.3200000003</v>
      </c>
      <c r="E63" s="920"/>
      <c r="F63" s="920"/>
      <c r="G63" s="921"/>
    </row>
    <row r="64" spans="1:7" ht="16.5" x14ac:dyDescent="0.25">
      <c r="A64" s="472"/>
      <c r="B64" s="473" t="s">
        <v>692</v>
      </c>
      <c r="C64" s="474"/>
      <c r="D64" s="919">
        <f>+[4]Schedules!$B$56</f>
        <v>2701520</v>
      </c>
      <c r="E64" s="920"/>
      <c r="F64" s="920"/>
      <c r="G64" s="921"/>
    </row>
    <row r="65" spans="1:7" ht="16.5" x14ac:dyDescent="0.3">
      <c r="A65" s="466">
        <v>2</v>
      </c>
      <c r="B65" s="475" t="s">
        <v>63</v>
      </c>
      <c r="C65" s="475"/>
      <c r="D65" s="485">
        <f>SUM(D62:D64)</f>
        <v>38027037.260000005</v>
      </c>
      <c r="E65" s="368"/>
      <c r="F65" s="485">
        <v>33069203</v>
      </c>
      <c r="G65" s="452"/>
    </row>
    <row r="66" spans="1:7" x14ac:dyDescent="0.25">
      <c r="A66" s="447">
        <v>3</v>
      </c>
      <c r="B66" s="476" t="s">
        <v>49</v>
      </c>
      <c r="C66" s="476"/>
      <c r="D66" s="481"/>
      <c r="E66" s="247"/>
      <c r="F66" s="481">
        <v>0</v>
      </c>
      <c r="G66" s="449"/>
    </row>
    <row r="67" spans="1:7" ht="17.25" thickBot="1" x14ac:dyDescent="0.35">
      <c r="A67" s="457">
        <v>4</v>
      </c>
      <c r="B67" s="477" t="s">
        <v>64</v>
      </c>
      <c r="C67" s="477"/>
      <c r="D67" s="486">
        <f>D65-D66</f>
        <v>38027037.260000005</v>
      </c>
      <c r="E67" s="487">
        <v>11263000</v>
      </c>
      <c r="F67" s="486">
        <v>33069203</v>
      </c>
      <c r="G67" s="459"/>
    </row>
    <row r="72" spans="1:7" ht="16.5" x14ac:dyDescent="0.3">
      <c r="A72" s="934" t="s">
        <v>723</v>
      </c>
      <c r="B72" s="935"/>
      <c r="C72" s="935"/>
      <c r="D72" s="7"/>
      <c r="G72" s="936" t="s">
        <v>724</v>
      </c>
    </row>
    <row r="73" spans="1:7" ht="16.5" x14ac:dyDescent="0.3">
      <c r="A73" s="934" t="s">
        <v>725</v>
      </c>
      <c r="B73" s="935"/>
      <c r="C73" s="935"/>
      <c r="D73" s="7"/>
      <c r="G73" s="937" t="s">
        <v>726</v>
      </c>
    </row>
    <row r="74" spans="1:7" x14ac:dyDescent="0.25">
      <c r="A74" s="7"/>
      <c r="B74" s="7"/>
      <c r="C74" s="7"/>
      <c r="D74" s="7"/>
      <c r="G74" s="7"/>
    </row>
    <row r="75" spans="1:7" x14ac:dyDescent="0.25">
      <c r="A75" s="7"/>
      <c r="B75" s="7"/>
      <c r="C75" s="7"/>
      <c r="D75" s="7"/>
      <c r="G75" s="7"/>
    </row>
    <row r="76" spans="1:7" x14ac:dyDescent="0.25">
      <c r="A76" s="7"/>
      <c r="B76" s="7"/>
      <c r="C76" s="7"/>
      <c r="D76" s="7"/>
      <c r="G76" s="7"/>
    </row>
    <row r="77" spans="1:7" x14ac:dyDescent="0.25">
      <c r="A77" s="7"/>
      <c r="B77" s="7"/>
      <c r="C77" s="7"/>
      <c r="D77" s="7"/>
      <c r="G77" s="7"/>
    </row>
    <row r="78" spans="1:7" x14ac:dyDescent="0.25">
      <c r="A78" s="946" t="s">
        <v>731</v>
      </c>
      <c r="B78" s="939"/>
      <c r="C78" s="940"/>
      <c r="D78" s="7"/>
      <c r="G78" s="941" t="s">
        <v>728</v>
      </c>
    </row>
    <row r="79" spans="1:7" x14ac:dyDescent="0.25">
      <c r="A79" s="946" t="s">
        <v>732</v>
      </c>
      <c r="B79" s="942"/>
      <c r="C79" s="940"/>
      <c r="D79" s="7"/>
      <c r="G79" s="941" t="s">
        <v>730</v>
      </c>
    </row>
    <row r="80" spans="1:7" x14ac:dyDescent="0.25">
      <c r="A80" s="944"/>
      <c r="B80" s="944"/>
      <c r="C80" s="944"/>
      <c r="D80" s="944"/>
      <c r="E80" s="7"/>
    </row>
    <row r="81" spans="1:5" x14ac:dyDescent="0.25">
      <c r="A81" s="944"/>
      <c r="B81" s="944"/>
      <c r="C81" s="944"/>
      <c r="D81" s="7"/>
      <c r="E81" s="941"/>
    </row>
    <row r="82" spans="1:5" ht="16.5" x14ac:dyDescent="0.3">
      <c r="A82" s="7"/>
      <c r="B82" s="944"/>
      <c r="C82" s="944"/>
      <c r="D82" s="7"/>
      <c r="E82" s="945"/>
    </row>
    <row r="83" spans="1:5" ht="16.5" x14ac:dyDescent="0.3">
      <c r="B83" s="944"/>
      <c r="C83" s="944"/>
      <c r="D83" s="947"/>
      <c r="E83" s="945"/>
    </row>
    <row r="84" spans="1:5" x14ac:dyDescent="0.25">
      <c r="B84" s="948"/>
      <c r="C84" s="948"/>
      <c r="D84" s="948"/>
      <c r="E84" s="949"/>
    </row>
  </sheetData>
  <mergeCells count="26">
    <mergeCell ref="A55:F55"/>
    <mergeCell ref="A56:G56"/>
    <mergeCell ref="A57:G57"/>
    <mergeCell ref="A58:G58"/>
    <mergeCell ref="A59:A60"/>
    <mergeCell ref="B59:B60"/>
    <mergeCell ref="C59:C60"/>
    <mergeCell ref="A31:G31"/>
    <mergeCell ref="A32:G32"/>
    <mergeCell ref="A33:G33"/>
    <mergeCell ref="A34:A35"/>
    <mergeCell ref="B34:B35"/>
    <mergeCell ref="C34:C35"/>
    <mergeCell ref="A13:G13"/>
    <mergeCell ref="A14:G14"/>
    <mergeCell ref="A15:G15"/>
    <mergeCell ref="A16:A17"/>
    <mergeCell ref="B16:B17"/>
    <mergeCell ref="C16:C17"/>
    <mergeCell ref="G16:G17"/>
    <mergeCell ref="A1:G1"/>
    <mergeCell ref="A2:G2"/>
    <mergeCell ref="A3:G3"/>
    <mergeCell ref="A4:A5"/>
    <mergeCell ref="B4:B5"/>
    <mergeCell ref="C4:C5"/>
  </mergeCells>
  <printOptions horizontalCentered="1" verticalCentered="1"/>
  <pageMargins left="0.25" right="0.25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W56"/>
  <sheetViews>
    <sheetView zoomScaleNormal="100" workbookViewId="0">
      <selection sqref="A1:I56"/>
    </sheetView>
  </sheetViews>
  <sheetFormatPr defaultRowHeight="15" x14ac:dyDescent="0.25"/>
  <cols>
    <col min="1" max="1" width="9.42578125" style="59" bestFit="1" customWidth="1"/>
    <col min="2" max="2" width="30.7109375" style="59" bestFit="1" customWidth="1"/>
    <col min="3" max="3" width="9.42578125" style="59" bestFit="1" customWidth="1"/>
    <col min="4" max="5" width="14.5703125" style="59" bestFit="1" customWidth="1"/>
    <col min="6" max="6" width="11.5703125" style="59" bestFit="1" customWidth="1"/>
    <col min="7" max="7" width="14" style="59" bestFit="1" customWidth="1"/>
    <col min="8" max="9" width="14.5703125" style="59" bestFit="1" customWidth="1"/>
    <col min="10" max="12" width="9.140625" style="59"/>
    <col min="13" max="13" width="9.28515625" style="59" bestFit="1" customWidth="1"/>
    <col min="14" max="14" width="34.28515625" style="59" bestFit="1" customWidth="1"/>
    <col min="15" max="15" width="9.28515625" style="59" bestFit="1" customWidth="1"/>
    <col min="16" max="17" width="12.85546875" style="59" bestFit="1" customWidth="1"/>
    <col min="18" max="18" width="9.28515625" style="59" bestFit="1" customWidth="1"/>
    <col min="19" max="19" width="11.5703125" style="59" bestFit="1" customWidth="1"/>
    <col min="20" max="21" width="12.85546875" style="59" bestFit="1" customWidth="1"/>
    <col min="22" max="16384" width="9.140625" style="59"/>
  </cols>
  <sheetData>
    <row r="1" spans="1:23" ht="19.5" thickBot="1" x14ac:dyDescent="0.35">
      <c r="A1" s="1055" t="s">
        <v>566</v>
      </c>
      <c r="B1" s="1056"/>
      <c r="C1" s="1056"/>
      <c r="D1" s="1056"/>
      <c r="E1" s="1056"/>
      <c r="F1" s="1056"/>
      <c r="G1" s="1056"/>
      <c r="H1" s="1056"/>
      <c r="I1" s="1057"/>
      <c r="K1" s="97" t="s">
        <v>569</v>
      </c>
      <c r="L1" s="98" t="s">
        <v>568</v>
      </c>
      <c r="M1" s="1073" t="s">
        <v>549</v>
      </c>
      <c r="N1" s="1074"/>
      <c r="O1" s="1074"/>
      <c r="P1" s="1074"/>
      <c r="Q1" s="1074"/>
      <c r="R1" s="1074"/>
      <c r="S1" s="1074"/>
      <c r="T1" s="1074"/>
      <c r="U1" s="1075"/>
    </row>
    <row r="2" spans="1:23" ht="16.5" thickBot="1" x14ac:dyDescent="0.3">
      <c r="A2" s="1027" t="s">
        <v>360</v>
      </c>
      <c r="B2" s="1028"/>
      <c r="C2" s="1028"/>
      <c r="D2" s="1028"/>
      <c r="E2" s="1028"/>
      <c r="F2" s="1028"/>
      <c r="G2" s="1028"/>
      <c r="H2" s="1028"/>
      <c r="I2" s="1029"/>
      <c r="K2" s="97"/>
      <c r="L2" s="97"/>
      <c r="M2" s="1076" t="s">
        <v>360</v>
      </c>
      <c r="N2" s="1077"/>
      <c r="O2" s="1077"/>
      <c r="P2" s="1077"/>
      <c r="Q2" s="1077"/>
      <c r="R2" s="1077"/>
      <c r="S2" s="1077"/>
      <c r="T2" s="1077"/>
      <c r="U2" s="1078"/>
    </row>
    <row r="3" spans="1:23" ht="16.5" thickBot="1" x14ac:dyDescent="0.3">
      <c r="A3" s="1027" t="s">
        <v>550</v>
      </c>
      <c r="B3" s="1028"/>
      <c r="C3" s="1028"/>
      <c r="D3" s="1028"/>
      <c r="E3" s="1028"/>
      <c r="F3" s="1028"/>
      <c r="G3" s="1028"/>
      <c r="H3" s="1028"/>
      <c r="I3" s="1029"/>
      <c r="M3" s="1076" t="s">
        <v>550</v>
      </c>
      <c r="N3" s="1077"/>
      <c r="O3" s="1077"/>
      <c r="P3" s="1077"/>
      <c r="Q3" s="1077"/>
      <c r="R3" s="1077"/>
      <c r="S3" s="1077"/>
      <c r="T3" s="1077"/>
      <c r="U3" s="1078"/>
    </row>
    <row r="4" spans="1:23" ht="18" customHeight="1" x14ac:dyDescent="0.25">
      <c r="A4" s="1058" t="s">
        <v>445</v>
      </c>
      <c r="B4" s="1060" t="s">
        <v>551</v>
      </c>
      <c r="C4" s="1060"/>
      <c r="D4" s="1062" t="s">
        <v>68</v>
      </c>
      <c r="E4" s="1062"/>
      <c r="F4" s="1062"/>
      <c r="G4" s="1062"/>
      <c r="H4" s="1062"/>
      <c r="I4" s="1063"/>
      <c r="M4" s="1079" t="s">
        <v>445</v>
      </c>
      <c r="N4" s="1081" t="s">
        <v>551</v>
      </c>
      <c r="O4" s="1081"/>
      <c r="P4" s="1083" t="s">
        <v>68</v>
      </c>
      <c r="Q4" s="1083"/>
      <c r="R4" s="1083"/>
      <c r="S4" s="1083"/>
      <c r="T4" s="1083"/>
      <c r="U4" s="1084"/>
    </row>
    <row r="5" spans="1:23" ht="18" customHeight="1" x14ac:dyDescent="0.25">
      <c r="A5" s="1059"/>
      <c r="B5" s="1061"/>
      <c r="C5" s="1061"/>
      <c r="D5" s="1012" t="s">
        <v>552</v>
      </c>
      <c r="E5" s="1012"/>
      <c r="F5" s="1061" t="s">
        <v>553</v>
      </c>
      <c r="G5" s="1061"/>
      <c r="H5" s="1061" t="s">
        <v>554</v>
      </c>
      <c r="I5" s="1064"/>
      <c r="M5" s="1080"/>
      <c r="N5" s="1082"/>
      <c r="O5" s="1082"/>
      <c r="P5" s="1082" t="s">
        <v>552</v>
      </c>
      <c r="Q5" s="1082"/>
      <c r="R5" s="1082" t="s">
        <v>553</v>
      </c>
      <c r="S5" s="1082"/>
      <c r="T5" s="1082" t="s">
        <v>554</v>
      </c>
      <c r="U5" s="1090"/>
    </row>
    <row r="6" spans="1:23" ht="16.5" x14ac:dyDescent="0.3">
      <c r="A6" s="1059"/>
      <c r="B6" s="1061"/>
      <c r="C6" s="1061"/>
      <c r="D6" s="471" t="s">
        <v>310</v>
      </c>
      <c r="E6" s="471" t="s">
        <v>311</v>
      </c>
      <c r="F6" s="471" t="s">
        <v>310</v>
      </c>
      <c r="G6" s="471" t="s">
        <v>311</v>
      </c>
      <c r="H6" s="471" t="s">
        <v>310</v>
      </c>
      <c r="I6" s="493" t="s">
        <v>311</v>
      </c>
      <c r="M6" s="1080"/>
      <c r="N6" s="1082"/>
      <c r="O6" s="1082"/>
      <c r="P6" s="60" t="s">
        <v>310</v>
      </c>
      <c r="Q6" s="60" t="s">
        <v>311</v>
      </c>
      <c r="R6" s="60" t="s">
        <v>310</v>
      </c>
      <c r="S6" s="60" t="s">
        <v>311</v>
      </c>
      <c r="T6" s="60" t="s">
        <v>310</v>
      </c>
      <c r="U6" s="61" t="s">
        <v>311</v>
      </c>
    </row>
    <row r="7" spans="1:23" ht="17.25" thickBot="1" x14ac:dyDescent="0.35">
      <c r="A7" s="494">
        <v>1</v>
      </c>
      <c r="B7" s="495">
        <v>2</v>
      </c>
      <c r="C7" s="495">
        <v>3</v>
      </c>
      <c r="D7" s="1085">
        <v>4</v>
      </c>
      <c r="E7" s="1085"/>
      <c r="F7" s="1085">
        <v>5</v>
      </c>
      <c r="G7" s="1085"/>
      <c r="H7" s="1085">
        <v>6</v>
      </c>
      <c r="I7" s="1086"/>
      <c r="M7" s="62">
        <v>1</v>
      </c>
      <c r="N7" s="63">
        <v>2</v>
      </c>
      <c r="O7" s="63">
        <v>3</v>
      </c>
      <c r="P7" s="1091">
        <v>4</v>
      </c>
      <c r="Q7" s="1091"/>
      <c r="R7" s="1091">
        <v>5</v>
      </c>
      <c r="S7" s="1091"/>
      <c r="T7" s="1091">
        <v>6</v>
      </c>
      <c r="U7" s="1092"/>
    </row>
    <row r="8" spans="1:23" ht="15.75" x14ac:dyDescent="0.25">
      <c r="A8" s="496">
        <v>1</v>
      </c>
      <c r="B8" s="497" t="s">
        <v>70</v>
      </c>
      <c r="C8" s="498"/>
      <c r="D8" s="511">
        <v>0</v>
      </c>
      <c r="E8" s="511">
        <v>18895000</v>
      </c>
      <c r="F8" s="511">
        <v>0</v>
      </c>
      <c r="G8" s="511">
        <v>0</v>
      </c>
      <c r="H8" s="518">
        <f>+D8+F8</f>
        <v>0</v>
      </c>
      <c r="I8" s="519">
        <f>+E8+G8</f>
        <v>18895000</v>
      </c>
      <c r="M8" s="64">
        <v>1</v>
      </c>
      <c r="N8" s="65" t="s">
        <v>70</v>
      </c>
      <c r="O8" s="66"/>
      <c r="P8" s="67">
        <v>0</v>
      </c>
      <c r="Q8" s="67">
        <v>18895000</v>
      </c>
      <c r="R8" s="67">
        <v>0</v>
      </c>
      <c r="S8" s="67">
        <v>0</v>
      </c>
      <c r="T8" s="67">
        <v>0</v>
      </c>
      <c r="U8" s="68">
        <v>18895000</v>
      </c>
      <c r="V8" s="59" t="b">
        <f>T8=D8</f>
        <v>1</v>
      </c>
      <c r="W8" s="59" t="b">
        <f>U8=E8</f>
        <v>1</v>
      </c>
    </row>
    <row r="9" spans="1:23" ht="15.75" x14ac:dyDescent="0.25">
      <c r="A9" s="499">
        <v>2</v>
      </c>
      <c r="B9" s="500" t="s">
        <v>555</v>
      </c>
      <c r="C9" s="501"/>
      <c r="D9" s="512">
        <v>0</v>
      </c>
      <c r="E9" s="512">
        <v>66194543.079999998</v>
      </c>
      <c r="F9" s="512">
        <v>0</v>
      </c>
      <c r="G9" s="512">
        <v>0</v>
      </c>
      <c r="H9" s="512">
        <f t="shared" ref="H9:H16" si="0">+D9+F9</f>
        <v>0</v>
      </c>
      <c r="I9" s="513">
        <f t="shared" ref="I9:I16" si="1">+E9+G9</f>
        <v>66194543.079999998</v>
      </c>
      <c r="M9" s="69">
        <v>2</v>
      </c>
      <c r="N9" s="70" t="s">
        <v>555</v>
      </c>
      <c r="O9" s="71"/>
      <c r="P9" s="72">
        <v>0</v>
      </c>
      <c r="Q9" s="72">
        <v>66194543.079999998</v>
      </c>
      <c r="R9" s="72">
        <v>0</v>
      </c>
      <c r="S9" s="72">
        <v>0</v>
      </c>
      <c r="T9" s="72">
        <v>0</v>
      </c>
      <c r="U9" s="73">
        <v>66194543.079999998</v>
      </c>
      <c r="V9" s="59" t="b">
        <f t="shared" ref="V9:V16" si="2">T9=D9</f>
        <v>1</v>
      </c>
      <c r="W9" s="59" t="b">
        <f t="shared" ref="W9:W16" si="3">U9=E9</f>
        <v>1</v>
      </c>
    </row>
    <row r="10" spans="1:23" ht="15.75" x14ac:dyDescent="0.25">
      <c r="A10" s="499">
        <v>3</v>
      </c>
      <c r="B10" s="502" t="s">
        <v>556</v>
      </c>
      <c r="C10" s="501"/>
      <c r="D10" s="512">
        <v>45451648</v>
      </c>
      <c r="E10" s="512">
        <v>278234639.19999999</v>
      </c>
      <c r="F10" s="512">
        <v>2639359</v>
      </c>
      <c r="G10" s="512">
        <v>637725</v>
      </c>
      <c r="H10" s="512">
        <f t="shared" si="0"/>
        <v>48091007</v>
      </c>
      <c r="I10" s="513">
        <f t="shared" si="1"/>
        <v>278872364.19999999</v>
      </c>
      <c r="M10" s="69">
        <v>3</v>
      </c>
      <c r="N10" s="74" t="s">
        <v>556</v>
      </c>
      <c r="O10" s="71"/>
      <c r="P10" s="72">
        <v>45451648</v>
      </c>
      <c r="Q10" s="72">
        <v>255005058.19999999</v>
      </c>
      <c r="R10" s="72">
        <v>0</v>
      </c>
      <c r="S10" s="72">
        <v>23229581</v>
      </c>
      <c r="T10" s="72">
        <v>45451648</v>
      </c>
      <c r="U10" s="73">
        <v>278234639.19999999</v>
      </c>
      <c r="V10" s="59" t="b">
        <f t="shared" si="2"/>
        <v>1</v>
      </c>
      <c r="W10" s="59" t="b">
        <f t="shared" si="3"/>
        <v>1</v>
      </c>
    </row>
    <row r="11" spans="1:23" ht="15.75" x14ac:dyDescent="0.25">
      <c r="A11" s="499">
        <v>7</v>
      </c>
      <c r="B11" s="502" t="s">
        <v>331</v>
      </c>
      <c r="C11" s="501"/>
      <c r="D11" s="512">
        <v>0</v>
      </c>
      <c r="E11" s="512">
        <v>8328713</v>
      </c>
      <c r="F11" s="512">
        <v>0</v>
      </c>
      <c r="G11" s="512">
        <v>0</v>
      </c>
      <c r="H11" s="512">
        <f t="shared" si="0"/>
        <v>0</v>
      </c>
      <c r="I11" s="513">
        <f t="shared" si="1"/>
        <v>8328713</v>
      </c>
      <c r="M11" s="69">
        <v>7</v>
      </c>
      <c r="N11" s="74" t="s">
        <v>331</v>
      </c>
      <c r="O11" s="71"/>
      <c r="P11" s="72">
        <v>0</v>
      </c>
      <c r="Q11" s="72">
        <v>8328713</v>
      </c>
      <c r="R11" s="72">
        <v>0</v>
      </c>
      <c r="S11" s="72">
        <v>0</v>
      </c>
      <c r="T11" s="72">
        <v>0</v>
      </c>
      <c r="U11" s="73">
        <v>8328713</v>
      </c>
      <c r="V11" s="59" t="b">
        <f t="shared" si="2"/>
        <v>1</v>
      </c>
      <c r="W11" s="59" t="b">
        <f t="shared" si="3"/>
        <v>1</v>
      </c>
    </row>
    <row r="12" spans="1:23" ht="15.75" x14ac:dyDescent="0.25">
      <c r="A12" s="499">
        <v>8</v>
      </c>
      <c r="B12" s="502" t="s">
        <v>557</v>
      </c>
      <c r="C12" s="501"/>
      <c r="D12" s="512">
        <v>0</v>
      </c>
      <c r="E12" s="512">
        <v>3486995.5</v>
      </c>
      <c r="F12" s="512">
        <v>0</v>
      </c>
      <c r="G12" s="512">
        <v>0</v>
      </c>
      <c r="H12" s="512">
        <f t="shared" si="0"/>
        <v>0</v>
      </c>
      <c r="I12" s="513">
        <f t="shared" si="1"/>
        <v>3486995.5</v>
      </c>
      <c r="M12" s="69">
        <v>8</v>
      </c>
      <c r="N12" s="74" t="s">
        <v>557</v>
      </c>
      <c r="O12" s="71"/>
      <c r="P12" s="72">
        <v>0</v>
      </c>
      <c r="Q12" s="72">
        <v>3486995.5</v>
      </c>
      <c r="R12" s="72">
        <v>0</v>
      </c>
      <c r="S12" s="72">
        <v>0</v>
      </c>
      <c r="T12" s="72">
        <v>0</v>
      </c>
      <c r="U12" s="73">
        <v>3486995.5</v>
      </c>
      <c r="V12" s="59" t="b">
        <f t="shared" si="2"/>
        <v>1</v>
      </c>
      <c r="W12" s="59" t="b">
        <f t="shared" si="3"/>
        <v>1</v>
      </c>
    </row>
    <row r="13" spans="1:23" ht="15.75" x14ac:dyDescent="0.25">
      <c r="A13" s="499">
        <v>9</v>
      </c>
      <c r="B13" s="502" t="s">
        <v>558</v>
      </c>
      <c r="C13" s="501"/>
      <c r="D13" s="512">
        <v>0</v>
      </c>
      <c r="E13" s="512">
        <v>253685.76000000001</v>
      </c>
      <c r="F13" s="512">
        <v>0</v>
      </c>
      <c r="G13" s="512">
        <v>0</v>
      </c>
      <c r="H13" s="512">
        <f t="shared" si="0"/>
        <v>0</v>
      </c>
      <c r="I13" s="513">
        <f t="shared" si="1"/>
        <v>253685.76000000001</v>
      </c>
      <c r="M13" s="69">
        <v>9</v>
      </c>
      <c r="N13" s="74" t="s">
        <v>558</v>
      </c>
      <c r="O13" s="71"/>
      <c r="P13" s="72">
        <v>0</v>
      </c>
      <c r="Q13" s="72">
        <v>253685.76000000001</v>
      </c>
      <c r="R13" s="72">
        <v>0</v>
      </c>
      <c r="S13" s="72">
        <v>0</v>
      </c>
      <c r="T13" s="72">
        <v>0</v>
      </c>
      <c r="U13" s="73">
        <v>253685.76000000001</v>
      </c>
      <c r="V13" s="59" t="b">
        <f t="shared" si="2"/>
        <v>1</v>
      </c>
      <c r="W13" s="59" t="b">
        <f t="shared" si="3"/>
        <v>1</v>
      </c>
    </row>
    <row r="14" spans="1:23" ht="15.75" x14ac:dyDescent="0.25">
      <c r="A14" s="499">
        <v>10</v>
      </c>
      <c r="B14" s="502" t="s">
        <v>559</v>
      </c>
      <c r="C14" s="501"/>
      <c r="D14" s="512">
        <v>183550016</v>
      </c>
      <c r="E14" s="512">
        <v>187508170</v>
      </c>
      <c r="F14" s="512">
        <v>0</v>
      </c>
      <c r="G14" s="512">
        <v>181091</v>
      </c>
      <c r="H14" s="512">
        <f t="shared" si="0"/>
        <v>183550016</v>
      </c>
      <c r="I14" s="513">
        <f t="shared" si="1"/>
        <v>187689261</v>
      </c>
      <c r="M14" s="69">
        <v>10</v>
      </c>
      <c r="N14" s="74" t="s">
        <v>559</v>
      </c>
      <c r="O14" s="71"/>
      <c r="P14" s="72">
        <v>183550016</v>
      </c>
      <c r="Q14" s="72">
        <v>175010050</v>
      </c>
      <c r="R14" s="72">
        <v>0</v>
      </c>
      <c r="S14" s="72">
        <v>12498120</v>
      </c>
      <c r="T14" s="72">
        <v>183550016</v>
      </c>
      <c r="U14" s="73">
        <v>187508170</v>
      </c>
      <c r="V14" s="59" t="b">
        <f t="shared" si="2"/>
        <v>1</v>
      </c>
      <c r="W14" s="59" t="b">
        <f t="shared" si="3"/>
        <v>1</v>
      </c>
    </row>
    <row r="15" spans="1:23" ht="15.75" x14ac:dyDescent="0.25">
      <c r="A15" s="499">
        <v>11</v>
      </c>
      <c r="B15" s="502" t="s">
        <v>72</v>
      </c>
      <c r="C15" s="501"/>
      <c r="D15" s="512">
        <v>0</v>
      </c>
      <c r="E15" s="512">
        <v>0</v>
      </c>
      <c r="F15" s="512">
        <v>0</v>
      </c>
      <c r="G15" s="512">
        <v>0</v>
      </c>
      <c r="H15" s="512">
        <f t="shared" si="0"/>
        <v>0</v>
      </c>
      <c r="I15" s="513">
        <f t="shared" si="1"/>
        <v>0</v>
      </c>
      <c r="M15" s="69">
        <v>11</v>
      </c>
      <c r="N15" s="74" t="s">
        <v>72</v>
      </c>
      <c r="O15" s="71"/>
      <c r="P15" s="75">
        <v>0</v>
      </c>
      <c r="Q15" s="75">
        <v>0</v>
      </c>
      <c r="R15" s="75">
        <v>0</v>
      </c>
      <c r="S15" s="75">
        <v>0</v>
      </c>
      <c r="T15" s="72">
        <v>0</v>
      </c>
      <c r="U15" s="73">
        <v>0</v>
      </c>
      <c r="V15" s="59" t="b">
        <f t="shared" si="2"/>
        <v>1</v>
      </c>
      <c r="W15" s="59" t="b">
        <f t="shared" si="3"/>
        <v>1</v>
      </c>
    </row>
    <row r="16" spans="1:23" ht="15.75" x14ac:dyDescent="0.25">
      <c r="A16" s="499">
        <v>12</v>
      </c>
      <c r="B16" s="502" t="s">
        <v>73</v>
      </c>
      <c r="C16" s="501"/>
      <c r="D16" s="512">
        <v>0</v>
      </c>
      <c r="E16" s="512">
        <v>46500</v>
      </c>
      <c r="F16" s="512">
        <v>0</v>
      </c>
      <c r="G16" s="512">
        <v>0</v>
      </c>
      <c r="H16" s="512">
        <f t="shared" si="0"/>
        <v>0</v>
      </c>
      <c r="I16" s="513">
        <f t="shared" si="1"/>
        <v>46500</v>
      </c>
      <c r="M16" s="69">
        <v>12</v>
      </c>
      <c r="N16" s="74" t="s">
        <v>73</v>
      </c>
      <c r="O16" s="71"/>
      <c r="P16" s="72">
        <v>0</v>
      </c>
      <c r="Q16" s="72">
        <v>46500</v>
      </c>
      <c r="R16" s="72">
        <v>0</v>
      </c>
      <c r="S16" s="72">
        <v>0</v>
      </c>
      <c r="T16" s="72">
        <v>0</v>
      </c>
      <c r="U16" s="73">
        <v>46500</v>
      </c>
      <c r="V16" s="59" t="b">
        <f t="shared" si="2"/>
        <v>1</v>
      </c>
      <c r="W16" s="59" t="b">
        <f t="shared" si="3"/>
        <v>1</v>
      </c>
    </row>
    <row r="17" spans="1:23" ht="17.25" thickBot="1" x14ac:dyDescent="0.35">
      <c r="A17" s="503">
        <v>13</v>
      </c>
      <c r="B17" s="504" t="s">
        <v>22</v>
      </c>
      <c r="C17" s="505"/>
      <c r="D17" s="514">
        <f t="shared" ref="D17:I17" si="4">SUM(D8:D16)</f>
        <v>229001664</v>
      </c>
      <c r="E17" s="514">
        <f t="shared" si="4"/>
        <v>562948246.53999996</v>
      </c>
      <c r="F17" s="514">
        <f t="shared" si="4"/>
        <v>2639359</v>
      </c>
      <c r="G17" s="514">
        <f t="shared" si="4"/>
        <v>818816</v>
      </c>
      <c r="H17" s="514">
        <f t="shared" si="4"/>
        <v>231641023</v>
      </c>
      <c r="I17" s="515">
        <f t="shared" si="4"/>
        <v>563767062.53999996</v>
      </c>
      <c r="M17" s="76">
        <v>13</v>
      </c>
      <c r="N17" s="77" t="s">
        <v>22</v>
      </c>
      <c r="O17" s="78"/>
      <c r="P17" s="79">
        <v>229001664</v>
      </c>
      <c r="Q17" s="79">
        <v>527220545.53999996</v>
      </c>
      <c r="R17" s="79">
        <v>0</v>
      </c>
      <c r="S17" s="79">
        <v>35727701</v>
      </c>
      <c r="T17" s="79">
        <v>229001664</v>
      </c>
      <c r="U17" s="80">
        <v>562948246.53999996</v>
      </c>
      <c r="V17" s="59" t="b">
        <f>T17=D17</f>
        <v>1</v>
      </c>
      <c r="W17" s="59" t="b">
        <f>U17=E17</f>
        <v>1</v>
      </c>
    </row>
    <row r="18" spans="1:23" ht="18" customHeight="1" x14ac:dyDescent="0.25">
      <c r="A18" s="1058" t="s">
        <v>445</v>
      </c>
      <c r="B18" s="1060" t="s">
        <v>551</v>
      </c>
      <c r="C18" s="1065" t="s">
        <v>560</v>
      </c>
      <c r="D18" s="1062" t="s">
        <v>561</v>
      </c>
      <c r="E18" s="1062"/>
      <c r="F18" s="1062"/>
      <c r="G18" s="1062"/>
      <c r="H18" s="1062"/>
      <c r="I18" s="1063"/>
      <c r="M18" s="1079" t="s">
        <v>445</v>
      </c>
      <c r="N18" s="1081" t="s">
        <v>551</v>
      </c>
      <c r="O18" s="1087" t="s">
        <v>560</v>
      </c>
      <c r="P18" s="1083" t="s">
        <v>561</v>
      </c>
      <c r="Q18" s="1083"/>
      <c r="R18" s="1083"/>
      <c r="S18" s="1083"/>
      <c r="T18" s="1083"/>
      <c r="U18" s="1084"/>
    </row>
    <row r="19" spans="1:23" ht="28.5" customHeight="1" x14ac:dyDescent="0.25">
      <c r="A19" s="1059">
        <v>0</v>
      </c>
      <c r="B19" s="1061">
        <v>0</v>
      </c>
      <c r="C19" s="1066"/>
      <c r="D19" s="1061" t="s">
        <v>562</v>
      </c>
      <c r="E19" s="1061"/>
      <c r="F19" s="1061" t="s">
        <v>553</v>
      </c>
      <c r="G19" s="1061"/>
      <c r="H19" s="1061" t="s">
        <v>69</v>
      </c>
      <c r="I19" s="1064"/>
      <c r="M19" s="1080">
        <v>0</v>
      </c>
      <c r="N19" s="1082">
        <v>0</v>
      </c>
      <c r="O19" s="1088"/>
      <c r="P19" s="1082" t="s">
        <v>562</v>
      </c>
      <c r="Q19" s="1082"/>
      <c r="R19" s="1082" t="s">
        <v>553</v>
      </c>
      <c r="S19" s="1082"/>
      <c r="T19" s="1082" t="s">
        <v>69</v>
      </c>
      <c r="U19" s="1090"/>
    </row>
    <row r="20" spans="1:23" ht="16.5" x14ac:dyDescent="0.3">
      <c r="A20" s="1059">
        <v>0</v>
      </c>
      <c r="B20" s="1061">
        <v>0</v>
      </c>
      <c r="C20" s="1067"/>
      <c r="D20" s="471" t="s">
        <v>310</v>
      </c>
      <c r="E20" s="471" t="s">
        <v>311</v>
      </c>
      <c r="F20" s="471" t="s">
        <v>310</v>
      </c>
      <c r="G20" s="471" t="s">
        <v>311</v>
      </c>
      <c r="H20" s="471" t="s">
        <v>310</v>
      </c>
      <c r="I20" s="493" t="s">
        <v>311</v>
      </c>
      <c r="M20" s="1080">
        <v>0</v>
      </c>
      <c r="N20" s="1082">
        <v>0</v>
      </c>
      <c r="O20" s="1089"/>
      <c r="P20" s="60" t="s">
        <v>310</v>
      </c>
      <c r="Q20" s="60" t="s">
        <v>311</v>
      </c>
      <c r="R20" s="60" t="s">
        <v>310</v>
      </c>
      <c r="S20" s="60" t="s">
        <v>311</v>
      </c>
      <c r="T20" s="60" t="s">
        <v>310</v>
      </c>
      <c r="U20" s="61" t="s">
        <v>311</v>
      </c>
    </row>
    <row r="21" spans="1:23" ht="17.25" thickBot="1" x14ac:dyDescent="0.35">
      <c r="A21" s="494">
        <v>1</v>
      </c>
      <c r="B21" s="495">
        <v>2</v>
      </c>
      <c r="C21" s="495">
        <v>3</v>
      </c>
      <c r="D21" s="1085">
        <v>4</v>
      </c>
      <c r="E21" s="1085"/>
      <c r="F21" s="1085">
        <v>5</v>
      </c>
      <c r="G21" s="1085"/>
      <c r="H21" s="1085">
        <v>6</v>
      </c>
      <c r="I21" s="1086"/>
      <c r="M21" s="62">
        <v>1</v>
      </c>
      <c r="N21" s="63">
        <v>2</v>
      </c>
      <c r="O21" s="63">
        <v>3</v>
      </c>
      <c r="P21" s="1091">
        <v>4</v>
      </c>
      <c r="Q21" s="1091"/>
      <c r="R21" s="1091">
        <v>5</v>
      </c>
      <c r="S21" s="1091"/>
      <c r="T21" s="1091">
        <v>6</v>
      </c>
      <c r="U21" s="1092"/>
    </row>
    <row r="22" spans="1:23" ht="15.75" x14ac:dyDescent="0.25">
      <c r="A22" s="496">
        <v>1</v>
      </c>
      <c r="B22" s="497" t="s">
        <v>70</v>
      </c>
      <c r="C22" s="498">
        <v>3.34</v>
      </c>
      <c r="D22" s="511">
        <v>0</v>
      </c>
      <c r="E22" s="511">
        <v>4663286</v>
      </c>
      <c r="F22" s="511">
        <v>0</v>
      </c>
      <c r="G22" s="511">
        <v>631093</v>
      </c>
      <c r="H22" s="518">
        <f>+D22+F22</f>
        <v>0</v>
      </c>
      <c r="I22" s="513">
        <f t="shared" ref="I22:I30" si="5">+E22+G22</f>
        <v>5294379</v>
      </c>
      <c r="M22" s="64">
        <v>1</v>
      </c>
      <c r="N22" s="65" t="s">
        <v>70</v>
      </c>
      <c r="O22" s="66">
        <v>3.34</v>
      </c>
      <c r="P22" s="67">
        <v>0</v>
      </c>
      <c r="Q22" s="67">
        <v>4032193.0000000005</v>
      </c>
      <c r="R22" s="67">
        <v>0</v>
      </c>
      <c r="S22" s="67">
        <v>631093</v>
      </c>
      <c r="T22" s="67">
        <v>0</v>
      </c>
      <c r="U22" s="68">
        <v>4663286</v>
      </c>
      <c r="V22" s="59" t="b">
        <f>T22=D22</f>
        <v>1</v>
      </c>
      <c r="W22" s="59" t="b">
        <f>U22=E22</f>
        <v>1</v>
      </c>
    </row>
    <row r="23" spans="1:23" ht="15.75" x14ac:dyDescent="0.25">
      <c r="A23" s="499">
        <v>2</v>
      </c>
      <c r="B23" s="500" t="s">
        <v>555</v>
      </c>
      <c r="C23" s="501">
        <v>5.28</v>
      </c>
      <c r="D23" s="512">
        <v>0</v>
      </c>
      <c r="E23" s="512">
        <v>28901865.385335654</v>
      </c>
      <c r="F23" s="512">
        <v>0</v>
      </c>
      <c r="G23" s="512">
        <v>3767191.7233356521</v>
      </c>
      <c r="H23" s="512">
        <f t="shared" ref="H23:H30" si="6">+D23+F23</f>
        <v>0</v>
      </c>
      <c r="I23" s="513">
        <f t="shared" si="5"/>
        <v>32669057.108671308</v>
      </c>
      <c r="M23" s="69">
        <v>2</v>
      </c>
      <c r="N23" s="70" t="s">
        <v>555</v>
      </c>
      <c r="O23" s="71">
        <v>5.28</v>
      </c>
      <c r="P23" s="72">
        <v>0</v>
      </c>
      <c r="Q23" s="72">
        <v>25134673.662</v>
      </c>
      <c r="R23" s="72">
        <v>0</v>
      </c>
      <c r="S23" s="72">
        <v>3767191.7233356521</v>
      </c>
      <c r="T23" s="72">
        <v>0</v>
      </c>
      <c r="U23" s="73">
        <v>28901865.385335654</v>
      </c>
      <c r="V23" s="59" t="b">
        <f t="shared" ref="V23:V31" si="7">T23=D23</f>
        <v>1</v>
      </c>
      <c r="W23" s="59" t="b">
        <f t="shared" ref="W23:W31" si="8">U23=E23</f>
        <v>1</v>
      </c>
    </row>
    <row r="24" spans="1:23" ht="15.75" x14ac:dyDescent="0.25">
      <c r="A24" s="499">
        <v>3</v>
      </c>
      <c r="B24" s="502" t="s">
        <v>556</v>
      </c>
      <c r="C24" s="501">
        <v>5.28</v>
      </c>
      <c r="D24" s="512">
        <v>0</v>
      </c>
      <c r="E24" s="512">
        <v>93352666.490400016</v>
      </c>
      <c r="F24" s="512">
        <v>0</v>
      </c>
      <c r="G24" s="512">
        <v>14820233.6712</v>
      </c>
      <c r="H24" s="512">
        <f t="shared" si="6"/>
        <v>0</v>
      </c>
      <c r="I24" s="513">
        <f t="shared" si="5"/>
        <v>108172900.16160002</v>
      </c>
      <c r="M24" s="69">
        <v>3</v>
      </c>
      <c r="N24" s="74" t="s">
        <v>556</v>
      </c>
      <c r="O24" s="71">
        <v>5.28</v>
      </c>
      <c r="P24" s="72">
        <v>0</v>
      </c>
      <c r="Q24" s="72">
        <v>79758954.69600001</v>
      </c>
      <c r="R24" s="72">
        <v>0</v>
      </c>
      <c r="S24" s="72">
        <v>13593711.794399999</v>
      </c>
      <c r="T24" s="72">
        <v>0</v>
      </c>
      <c r="U24" s="73">
        <v>93352666.490400016</v>
      </c>
      <c r="V24" s="59" t="b">
        <f t="shared" si="7"/>
        <v>1</v>
      </c>
      <c r="W24" s="59" t="b">
        <f t="shared" si="8"/>
        <v>1</v>
      </c>
    </row>
    <row r="25" spans="1:23" ht="15.75" x14ac:dyDescent="0.25">
      <c r="A25" s="499">
        <v>7</v>
      </c>
      <c r="B25" s="502" t="s">
        <v>331</v>
      </c>
      <c r="C25" s="501">
        <v>5.28</v>
      </c>
      <c r="D25" s="512">
        <v>0</v>
      </c>
      <c r="E25" s="512">
        <v>4897286.2440000009</v>
      </c>
      <c r="F25" s="512">
        <v>0</v>
      </c>
      <c r="G25" s="512">
        <v>649639.61399999994</v>
      </c>
      <c r="H25" s="512">
        <f t="shared" si="6"/>
        <v>0</v>
      </c>
      <c r="I25" s="513">
        <f t="shared" si="5"/>
        <v>5546925.8580000009</v>
      </c>
      <c r="M25" s="69">
        <v>7</v>
      </c>
      <c r="N25" s="74" t="s">
        <v>331</v>
      </c>
      <c r="O25" s="71">
        <v>5.28</v>
      </c>
      <c r="P25" s="72">
        <v>0</v>
      </c>
      <c r="Q25" s="72">
        <v>4247646.6300000008</v>
      </c>
      <c r="R25" s="72">
        <v>0</v>
      </c>
      <c r="S25" s="72">
        <v>649639.61399999994</v>
      </c>
      <c r="T25" s="72">
        <v>0</v>
      </c>
      <c r="U25" s="73">
        <v>4897286.2440000009</v>
      </c>
      <c r="V25" s="59" t="b">
        <f t="shared" si="7"/>
        <v>1</v>
      </c>
      <c r="W25" s="59" t="b">
        <f t="shared" si="8"/>
        <v>1</v>
      </c>
    </row>
    <row r="26" spans="1:23" ht="15.75" x14ac:dyDescent="0.25">
      <c r="A26" s="499">
        <v>8</v>
      </c>
      <c r="B26" s="502" t="s">
        <v>557</v>
      </c>
      <c r="C26" s="501">
        <v>5.28</v>
      </c>
      <c r="D26" s="512">
        <v>0</v>
      </c>
      <c r="E26" s="516">
        <v>1640721.357234783</v>
      </c>
      <c r="F26" s="512">
        <v>0</v>
      </c>
      <c r="G26" s="516">
        <v>195447.22163478256</v>
      </c>
      <c r="H26" s="512">
        <f t="shared" si="6"/>
        <v>0</v>
      </c>
      <c r="I26" s="513">
        <f t="shared" si="5"/>
        <v>1836168.5788695656</v>
      </c>
      <c r="M26" s="69">
        <v>8</v>
      </c>
      <c r="N26" s="74" t="s">
        <v>557</v>
      </c>
      <c r="O26" s="71">
        <v>5.28</v>
      </c>
      <c r="P26" s="72">
        <v>0</v>
      </c>
      <c r="Q26" s="72">
        <v>1445274.1356000004</v>
      </c>
      <c r="R26" s="72">
        <v>0</v>
      </c>
      <c r="S26" s="72">
        <v>195447.22163478256</v>
      </c>
      <c r="T26" s="72">
        <v>0</v>
      </c>
      <c r="U26" s="73">
        <v>1640721.357234783</v>
      </c>
      <c r="V26" s="59" t="b">
        <f t="shared" si="7"/>
        <v>1</v>
      </c>
      <c r="W26" s="59" t="b">
        <f t="shared" si="8"/>
        <v>1</v>
      </c>
    </row>
    <row r="27" spans="1:23" ht="15.75" x14ac:dyDescent="0.25">
      <c r="A27" s="499">
        <v>9</v>
      </c>
      <c r="B27" s="502" t="s">
        <v>558</v>
      </c>
      <c r="C27" s="501">
        <v>5.28</v>
      </c>
      <c r="D27" s="512">
        <v>0</v>
      </c>
      <c r="E27" s="512">
        <v>104522.27616000001</v>
      </c>
      <c r="F27" s="512">
        <v>0</v>
      </c>
      <c r="G27" s="512">
        <v>15298.84656</v>
      </c>
      <c r="H27" s="512">
        <f t="shared" si="6"/>
        <v>0</v>
      </c>
      <c r="I27" s="513">
        <f t="shared" si="5"/>
        <v>119821.12272000001</v>
      </c>
      <c r="M27" s="69">
        <v>9</v>
      </c>
      <c r="N27" s="74" t="s">
        <v>558</v>
      </c>
      <c r="O27" s="71">
        <v>5.28</v>
      </c>
      <c r="P27" s="72">
        <v>0</v>
      </c>
      <c r="Q27" s="72">
        <v>89223.429600000003</v>
      </c>
      <c r="R27" s="72">
        <v>0</v>
      </c>
      <c r="S27" s="72">
        <v>15298.84656</v>
      </c>
      <c r="T27" s="72">
        <v>0</v>
      </c>
      <c r="U27" s="73">
        <v>104522.27616000001</v>
      </c>
      <c r="V27" s="59" t="b">
        <f t="shared" si="7"/>
        <v>1</v>
      </c>
      <c r="W27" s="59" t="b">
        <f t="shared" si="8"/>
        <v>1</v>
      </c>
    </row>
    <row r="28" spans="1:23" ht="15.75" x14ac:dyDescent="0.25">
      <c r="A28" s="499">
        <v>10</v>
      </c>
      <c r="B28" s="502" t="s">
        <v>559</v>
      </c>
      <c r="C28" s="501">
        <v>5.28</v>
      </c>
      <c r="D28" s="512">
        <v>0</v>
      </c>
      <c r="E28" s="512">
        <v>19219487.447999999</v>
      </c>
      <c r="F28" s="512">
        <v>0</v>
      </c>
      <c r="G28" s="512">
        <v>9900431.376000002</v>
      </c>
      <c r="H28" s="512">
        <f t="shared" si="6"/>
        <v>0</v>
      </c>
      <c r="I28" s="513">
        <f t="shared" si="5"/>
        <v>29119918.824000001</v>
      </c>
      <c r="M28" s="69">
        <v>10</v>
      </c>
      <c r="N28" s="74" t="s">
        <v>559</v>
      </c>
      <c r="O28" s="71">
        <v>5.28</v>
      </c>
      <c r="P28" s="72">
        <v>0</v>
      </c>
      <c r="Q28" s="72">
        <v>9978956.8079999983</v>
      </c>
      <c r="R28" s="72">
        <v>0</v>
      </c>
      <c r="S28" s="72">
        <v>9240530.6399999987</v>
      </c>
      <c r="T28" s="72">
        <v>0</v>
      </c>
      <c r="U28" s="73">
        <v>19219487.447999999</v>
      </c>
      <c r="V28" s="59" t="b">
        <f t="shared" si="7"/>
        <v>1</v>
      </c>
      <c r="W28" s="59" t="b">
        <f t="shared" si="8"/>
        <v>1</v>
      </c>
    </row>
    <row r="29" spans="1:23" ht="15.75" x14ac:dyDescent="0.25">
      <c r="A29" s="499">
        <v>11</v>
      </c>
      <c r="B29" s="502" t="s">
        <v>72</v>
      </c>
      <c r="C29" s="501">
        <v>5.28</v>
      </c>
      <c r="D29" s="512">
        <v>0</v>
      </c>
      <c r="E29" s="512">
        <v>0</v>
      </c>
      <c r="F29" s="512">
        <v>0</v>
      </c>
      <c r="G29" s="512">
        <v>0</v>
      </c>
      <c r="H29" s="512">
        <f t="shared" si="6"/>
        <v>0</v>
      </c>
      <c r="I29" s="513">
        <f t="shared" si="5"/>
        <v>0</v>
      </c>
      <c r="M29" s="69">
        <v>11</v>
      </c>
      <c r="N29" s="74" t="s">
        <v>72</v>
      </c>
      <c r="O29" s="71">
        <v>5.28</v>
      </c>
      <c r="P29" s="75">
        <v>0</v>
      </c>
      <c r="Q29" s="75">
        <v>0</v>
      </c>
      <c r="R29" s="75">
        <v>0</v>
      </c>
      <c r="S29" s="75">
        <v>0</v>
      </c>
      <c r="T29" s="72">
        <v>0</v>
      </c>
      <c r="U29" s="73">
        <v>0</v>
      </c>
      <c r="V29" s="59" t="b">
        <f t="shared" si="7"/>
        <v>1</v>
      </c>
      <c r="W29" s="59" t="b">
        <f t="shared" si="8"/>
        <v>1</v>
      </c>
    </row>
    <row r="30" spans="1:23" ht="15.75" x14ac:dyDescent="0.25">
      <c r="A30" s="499">
        <v>12</v>
      </c>
      <c r="B30" s="502" t="s">
        <v>567</v>
      </c>
      <c r="C30" s="501">
        <v>15</v>
      </c>
      <c r="D30" s="512">
        <v>0</v>
      </c>
      <c r="E30" s="512">
        <v>6975</v>
      </c>
      <c r="F30" s="512">
        <v>0</v>
      </c>
      <c r="G30" s="512">
        <v>6975</v>
      </c>
      <c r="H30" s="512">
        <f t="shared" si="6"/>
        <v>0</v>
      </c>
      <c r="I30" s="513">
        <f t="shared" si="5"/>
        <v>13950</v>
      </c>
      <c r="M30" s="69">
        <v>12</v>
      </c>
      <c r="N30" s="74" t="s">
        <v>73</v>
      </c>
      <c r="O30" s="71">
        <v>15</v>
      </c>
      <c r="P30" s="72">
        <v>0</v>
      </c>
      <c r="Q30" s="72">
        <v>0</v>
      </c>
      <c r="R30" s="72">
        <v>0</v>
      </c>
      <c r="S30" s="72">
        <v>6975</v>
      </c>
      <c r="T30" s="72">
        <v>0</v>
      </c>
      <c r="U30" s="73">
        <v>6975</v>
      </c>
      <c r="V30" s="59" t="b">
        <f t="shared" si="7"/>
        <v>1</v>
      </c>
      <c r="W30" s="59" t="b">
        <f t="shared" si="8"/>
        <v>1</v>
      </c>
    </row>
    <row r="31" spans="1:23" ht="17.25" thickBot="1" x14ac:dyDescent="0.35">
      <c r="A31" s="503">
        <v>13</v>
      </c>
      <c r="B31" s="504" t="s">
        <v>22</v>
      </c>
      <c r="C31" s="505"/>
      <c r="D31" s="514">
        <v>0</v>
      </c>
      <c r="E31" s="514">
        <f>SUM(E22:E30)</f>
        <v>152786810.20113045</v>
      </c>
      <c r="F31" s="514">
        <v>0</v>
      </c>
      <c r="G31" s="514">
        <f>SUM(G22:G30)</f>
        <v>29986310.45273044</v>
      </c>
      <c r="H31" s="514">
        <v>0</v>
      </c>
      <c r="I31" s="515">
        <f>SUM(I22:I30)</f>
        <v>182773120.6538609</v>
      </c>
      <c r="M31" s="81">
        <v>13</v>
      </c>
      <c r="N31" s="82" t="s">
        <v>22</v>
      </c>
      <c r="O31" s="83"/>
      <c r="P31" s="84">
        <v>0</v>
      </c>
      <c r="Q31" s="84">
        <v>124686922.3612</v>
      </c>
      <c r="R31" s="84">
        <v>0</v>
      </c>
      <c r="S31" s="84">
        <v>28099887.839930438</v>
      </c>
      <c r="T31" s="84">
        <v>0</v>
      </c>
      <c r="U31" s="85">
        <v>152786810.20113045</v>
      </c>
      <c r="V31" s="59" t="b">
        <f t="shared" si="7"/>
        <v>1</v>
      </c>
      <c r="W31" s="59" t="b">
        <f t="shared" si="8"/>
        <v>1</v>
      </c>
    </row>
    <row r="32" spans="1:23" ht="18" customHeight="1" x14ac:dyDescent="0.25">
      <c r="A32" s="1058" t="s">
        <v>445</v>
      </c>
      <c r="B32" s="1060" t="s">
        <v>551</v>
      </c>
      <c r="C32" s="1060"/>
      <c r="D32" s="1068" t="s">
        <v>563</v>
      </c>
      <c r="E32" s="1068"/>
      <c r="F32" s="1068"/>
      <c r="G32" s="1068"/>
      <c r="H32" s="1068"/>
      <c r="I32" s="1069"/>
      <c r="M32" s="1079" t="s">
        <v>445</v>
      </c>
      <c r="N32" s="1081" t="s">
        <v>551</v>
      </c>
      <c r="O32" s="1081"/>
      <c r="P32" s="1093" t="s">
        <v>563</v>
      </c>
      <c r="Q32" s="1093"/>
      <c r="R32" s="1093"/>
      <c r="S32" s="1093"/>
      <c r="T32" s="1093"/>
      <c r="U32" s="1094"/>
    </row>
    <row r="33" spans="1:21" ht="18" customHeight="1" x14ac:dyDescent="0.25">
      <c r="A33" s="1059"/>
      <c r="B33" s="1061"/>
      <c r="C33" s="1061"/>
      <c r="D33" s="1070" t="s">
        <v>564</v>
      </c>
      <c r="E33" s="1070"/>
      <c r="F33" s="1061" t="s">
        <v>553</v>
      </c>
      <c r="G33" s="1061"/>
      <c r="H33" s="1061" t="s">
        <v>565</v>
      </c>
      <c r="I33" s="1064"/>
      <c r="M33" s="1080"/>
      <c r="N33" s="1082"/>
      <c r="O33" s="1082"/>
      <c r="P33" s="1095" t="s">
        <v>564</v>
      </c>
      <c r="Q33" s="1095"/>
      <c r="R33" s="60"/>
      <c r="S33" s="60"/>
      <c r="T33" s="1082" t="s">
        <v>565</v>
      </c>
      <c r="U33" s="1090"/>
    </row>
    <row r="34" spans="1:21" ht="16.5" x14ac:dyDescent="0.3">
      <c r="A34" s="1059"/>
      <c r="B34" s="1061"/>
      <c r="C34" s="1061"/>
      <c r="D34" s="471" t="s">
        <v>310</v>
      </c>
      <c r="E34" s="471" t="s">
        <v>311</v>
      </c>
      <c r="F34" s="507" t="s">
        <v>310</v>
      </c>
      <c r="G34" s="507" t="s">
        <v>311</v>
      </c>
      <c r="H34" s="471" t="s">
        <v>310</v>
      </c>
      <c r="I34" s="493" t="s">
        <v>311</v>
      </c>
      <c r="M34" s="1080"/>
      <c r="N34" s="1082"/>
      <c r="O34" s="1082"/>
      <c r="P34" s="60" t="s">
        <v>310</v>
      </c>
      <c r="Q34" s="60" t="s">
        <v>311</v>
      </c>
      <c r="R34" s="60"/>
      <c r="S34" s="60"/>
      <c r="T34" s="60" t="s">
        <v>310</v>
      </c>
      <c r="U34" s="61" t="s">
        <v>311</v>
      </c>
    </row>
    <row r="35" spans="1:21" ht="16.5" x14ac:dyDescent="0.3">
      <c r="A35" s="506">
        <v>1</v>
      </c>
      <c r="B35" s="471">
        <v>2</v>
      </c>
      <c r="C35" s="471">
        <v>3</v>
      </c>
      <c r="D35" s="1071">
        <v>4</v>
      </c>
      <c r="E35" s="1071"/>
      <c r="F35" s="1053">
        <v>5</v>
      </c>
      <c r="G35" s="1054"/>
      <c r="H35" s="1071">
        <v>6</v>
      </c>
      <c r="I35" s="1072"/>
      <c r="M35" s="86">
        <v>1</v>
      </c>
      <c r="N35" s="60">
        <v>2</v>
      </c>
      <c r="O35" s="60">
        <v>3</v>
      </c>
      <c r="P35" s="1096">
        <v>5</v>
      </c>
      <c r="Q35" s="1096"/>
      <c r="R35" s="60"/>
      <c r="S35" s="60"/>
      <c r="T35" s="1096">
        <v>4</v>
      </c>
      <c r="U35" s="1097"/>
    </row>
    <row r="36" spans="1:21" ht="15.75" x14ac:dyDescent="0.25">
      <c r="A36" s="499">
        <v>1</v>
      </c>
      <c r="B36" s="210" t="s">
        <v>70</v>
      </c>
      <c r="C36" s="501"/>
      <c r="D36" s="512">
        <f t="shared" ref="D36:E44" si="9">+D8-D22</f>
        <v>0</v>
      </c>
      <c r="E36" s="512">
        <f t="shared" si="9"/>
        <v>14231714</v>
      </c>
      <c r="F36" s="512"/>
      <c r="G36" s="512"/>
      <c r="H36" s="512">
        <f t="shared" ref="H36:I44" si="10">+H8-H22</f>
        <v>0</v>
      </c>
      <c r="I36" s="513">
        <f t="shared" si="10"/>
        <v>13600621</v>
      </c>
      <c r="M36" s="69">
        <v>1</v>
      </c>
      <c r="N36" s="87" t="s">
        <v>70</v>
      </c>
      <c r="O36" s="71"/>
      <c r="P36" s="72">
        <v>0</v>
      </c>
      <c r="Q36" s="72">
        <v>14862807</v>
      </c>
      <c r="R36" s="88"/>
      <c r="S36" s="88"/>
      <c r="T36" s="72">
        <v>0</v>
      </c>
      <c r="U36" s="73">
        <v>14231714</v>
      </c>
    </row>
    <row r="37" spans="1:21" ht="15.75" x14ac:dyDescent="0.25">
      <c r="A37" s="499">
        <v>2</v>
      </c>
      <c r="B37" s="500" t="s">
        <v>555</v>
      </c>
      <c r="C37" s="501"/>
      <c r="D37" s="512">
        <f t="shared" si="9"/>
        <v>0</v>
      </c>
      <c r="E37" s="512">
        <f t="shared" si="9"/>
        <v>37292677.694664344</v>
      </c>
      <c r="F37" s="512"/>
      <c r="G37" s="512"/>
      <c r="H37" s="512">
        <f t="shared" si="10"/>
        <v>0</v>
      </c>
      <c r="I37" s="513">
        <f t="shared" si="10"/>
        <v>33525485.971328691</v>
      </c>
      <c r="M37" s="69">
        <v>2</v>
      </c>
      <c r="N37" s="70" t="s">
        <v>555</v>
      </c>
      <c r="O37" s="71"/>
      <c r="P37" s="72">
        <v>0</v>
      </c>
      <c r="Q37" s="72">
        <v>41059869.417999998</v>
      </c>
      <c r="R37" s="88"/>
      <c r="S37" s="88"/>
      <c r="T37" s="72">
        <v>0</v>
      </c>
      <c r="U37" s="73">
        <v>37292677.694664344</v>
      </c>
    </row>
    <row r="38" spans="1:21" ht="15.75" x14ac:dyDescent="0.25">
      <c r="A38" s="499">
        <v>3</v>
      </c>
      <c r="B38" s="502" t="s">
        <v>556</v>
      </c>
      <c r="C38" s="501"/>
      <c r="D38" s="512">
        <f t="shared" si="9"/>
        <v>45451648</v>
      </c>
      <c r="E38" s="512">
        <f t="shared" si="9"/>
        <v>184881972.70959997</v>
      </c>
      <c r="F38" s="512"/>
      <c r="G38" s="512"/>
      <c r="H38" s="512">
        <f t="shared" si="10"/>
        <v>48091007</v>
      </c>
      <c r="I38" s="513">
        <f t="shared" si="10"/>
        <v>170699464.03839996</v>
      </c>
      <c r="M38" s="69">
        <v>3</v>
      </c>
      <c r="N38" s="74" t="s">
        <v>556</v>
      </c>
      <c r="O38" s="71"/>
      <c r="P38" s="72">
        <v>45451648</v>
      </c>
      <c r="Q38" s="72">
        <v>175246103.50399998</v>
      </c>
      <c r="R38" s="88"/>
      <c r="S38" s="88"/>
      <c r="T38" s="72">
        <v>45451648</v>
      </c>
      <c r="U38" s="73">
        <v>184881972.70959997</v>
      </c>
    </row>
    <row r="39" spans="1:21" ht="15.75" x14ac:dyDescent="0.25">
      <c r="A39" s="499">
        <v>7</v>
      </c>
      <c r="B39" s="502" t="s">
        <v>331</v>
      </c>
      <c r="C39" s="501"/>
      <c r="D39" s="512">
        <f t="shared" si="9"/>
        <v>0</v>
      </c>
      <c r="E39" s="512">
        <f t="shared" si="9"/>
        <v>3431426.7559999991</v>
      </c>
      <c r="F39" s="512"/>
      <c r="G39" s="512"/>
      <c r="H39" s="512">
        <f t="shared" si="10"/>
        <v>0</v>
      </c>
      <c r="I39" s="513">
        <f t="shared" si="10"/>
        <v>2781787.1419999991</v>
      </c>
      <c r="M39" s="69">
        <v>7</v>
      </c>
      <c r="N39" s="74" t="s">
        <v>331</v>
      </c>
      <c r="O39" s="71"/>
      <c r="P39" s="72">
        <v>0</v>
      </c>
      <c r="Q39" s="72">
        <v>4081066.3699999992</v>
      </c>
      <c r="R39" s="88"/>
      <c r="S39" s="88"/>
      <c r="T39" s="72">
        <v>0</v>
      </c>
      <c r="U39" s="73">
        <v>3431426.7559999991</v>
      </c>
    </row>
    <row r="40" spans="1:21" ht="15.75" x14ac:dyDescent="0.25">
      <c r="A40" s="499">
        <v>8</v>
      </c>
      <c r="B40" s="502" t="s">
        <v>557</v>
      </c>
      <c r="C40" s="501"/>
      <c r="D40" s="512">
        <f t="shared" si="9"/>
        <v>0</v>
      </c>
      <c r="E40" s="512">
        <f t="shared" si="9"/>
        <v>1846274.142765217</v>
      </c>
      <c r="F40" s="512"/>
      <c r="G40" s="512"/>
      <c r="H40" s="512">
        <f t="shared" si="10"/>
        <v>0</v>
      </c>
      <c r="I40" s="513">
        <f t="shared" si="10"/>
        <v>1650826.9211304344</v>
      </c>
      <c r="M40" s="69">
        <v>8</v>
      </c>
      <c r="N40" s="74" t="s">
        <v>557</v>
      </c>
      <c r="O40" s="71"/>
      <c r="P40" s="72">
        <v>0</v>
      </c>
      <c r="Q40" s="72">
        <v>2041721.3643999996</v>
      </c>
      <c r="R40" s="88"/>
      <c r="S40" s="88"/>
      <c r="T40" s="72">
        <v>0</v>
      </c>
      <c r="U40" s="73">
        <v>1846274.142765217</v>
      </c>
    </row>
    <row r="41" spans="1:21" ht="15.75" x14ac:dyDescent="0.25">
      <c r="A41" s="499">
        <v>9</v>
      </c>
      <c r="B41" s="502" t="s">
        <v>558</v>
      </c>
      <c r="C41" s="501"/>
      <c r="D41" s="512">
        <f t="shared" si="9"/>
        <v>0</v>
      </c>
      <c r="E41" s="512">
        <f t="shared" si="9"/>
        <v>149163.48384</v>
      </c>
      <c r="F41" s="512"/>
      <c r="G41" s="512"/>
      <c r="H41" s="512">
        <f t="shared" si="10"/>
        <v>0</v>
      </c>
      <c r="I41" s="513">
        <f t="shared" si="10"/>
        <v>133864.63728</v>
      </c>
      <c r="M41" s="69">
        <v>9</v>
      </c>
      <c r="N41" s="74" t="s">
        <v>558</v>
      </c>
      <c r="O41" s="71"/>
      <c r="P41" s="72">
        <v>0</v>
      </c>
      <c r="Q41" s="72">
        <v>164462.33040000001</v>
      </c>
      <c r="R41" s="88"/>
      <c r="S41" s="88"/>
      <c r="T41" s="72">
        <v>0</v>
      </c>
      <c r="U41" s="73">
        <v>149163.48384</v>
      </c>
    </row>
    <row r="42" spans="1:21" ht="15.75" x14ac:dyDescent="0.25">
      <c r="A42" s="499">
        <v>10</v>
      </c>
      <c r="B42" s="502" t="s">
        <v>559</v>
      </c>
      <c r="C42" s="501"/>
      <c r="D42" s="512">
        <f t="shared" si="9"/>
        <v>183550016</v>
      </c>
      <c r="E42" s="512">
        <f t="shared" si="9"/>
        <v>168288682.55199999</v>
      </c>
      <c r="F42" s="512"/>
      <c r="G42" s="512"/>
      <c r="H42" s="512">
        <f t="shared" si="10"/>
        <v>183550016</v>
      </c>
      <c r="I42" s="513">
        <f t="shared" si="10"/>
        <v>158569342.176</v>
      </c>
      <c r="M42" s="69">
        <v>10</v>
      </c>
      <c r="N42" s="74" t="s">
        <v>559</v>
      </c>
      <c r="O42" s="71"/>
      <c r="P42" s="72">
        <v>183550016</v>
      </c>
      <c r="Q42" s="72">
        <v>165031093.192</v>
      </c>
      <c r="R42" s="88"/>
      <c r="S42" s="88"/>
      <c r="T42" s="72">
        <v>183550016</v>
      </c>
      <c r="U42" s="73">
        <v>168288682.55199999</v>
      </c>
    </row>
    <row r="43" spans="1:21" ht="15.75" x14ac:dyDescent="0.25">
      <c r="A43" s="499">
        <v>11</v>
      </c>
      <c r="B43" s="502" t="s">
        <v>72</v>
      </c>
      <c r="C43" s="501"/>
      <c r="D43" s="512">
        <f t="shared" si="9"/>
        <v>0</v>
      </c>
      <c r="E43" s="512">
        <f t="shared" si="9"/>
        <v>0</v>
      </c>
      <c r="F43" s="512"/>
      <c r="G43" s="512"/>
      <c r="H43" s="512">
        <f t="shared" si="10"/>
        <v>0</v>
      </c>
      <c r="I43" s="513">
        <f t="shared" si="10"/>
        <v>0</v>
      </c>
      <c r="M43" s="69">
        <v>11</v>
      </c>
      <c r="N43" s="74" t="s">
        <v>72</v>
      </c>
      <c r="O43" s="71"/>
      <c r="P43" s="72">
        <v>0</v>
      </c>
      <c r="Q43" s="72">
        <v>0</v>
      </c>
      <c r="R43" s="88"/>
      <c r="S43" s="88"/>
      <c r="T43" s="75">
        <v>0</v>
      </c>
      <c r="U43" s="89">
        <v>0</v>
      </c>
    </row>
    <row r="44" spans="1:21" ht="15.75" x14ac:dyDescent="0.25">
      <c r="A44" s="499">
        <v>12</v>
      </c>
      <c r="B44" s="502" t="s">
        <v>73</v>
      </c>
      <c r="C44" s="501"/>
      <c r="D44" s="512">
        <f t="shared" si="9"/>
        <v>0</v>
      </c>
      <c r="E44" s="512">
        <f t="shared" si="9"/>
        <v>39525</v>
      </c>
      <c r="F44" s="512"/>
      <c r="G44" s="512"/>
      <c r="H44" s="512">
        <f t="shared" si="10"/>
        <v>0</v>
      </c>
      <c r="I44" s="513">
        <f t="shared" si="10"/>
        <v>32550</v>
      </c>
      <c r="M44" s="69">
        <v>12</v>
      </c>
      <c r="N44" s="74" t="s">
        <v>73</v>
      </c>
      <c r="O44" s="71"/>
      <c r="P44" s="72">
        <v>0</v>
      </c>
      <c r="Q44" s="72">
        <v>46500</v>
      </c>
      <c r="R44" s="88"/>
      <c r="S44" s="88"/>
      <c r="T44" s="72">
        <v>0</v>
      </c>
      <c r="U44" s="73">
        <v>39525</v>
      </c>
    </row>
    <row r="45" spans="1:21" ht="17.25" thickBot="1" x14ac:dyDescent="0.35">
      <c r="A45" s="508">
        <v>13</v>
      </c>
      <c r="B45" s="509" t="s">
        <v>22</v>
      </c>
      <c r="C45" s="309"/>
      <c r="D45" s="487">
        <f t="shared" ref="D45:I45" si="11">SUM(D36:D44)</f>
        <v>229001664</v>
      </c>
      <c r="E45" s="487">
        <f t="shared" si="11"/>
        <v>410161436.33886957</v>
      </c>
      <c r="F45" s="487">
        <f t="shared" si="11"/>
        <v>0</v>
      </c>
      <c r="G45" s="487">
        <f t="shared" si="11"/>
        <v>0</v>
      </c>
      <c r="H45" s="487">
        <f t="shared" si="11"/>
        <v>231641023</v>
      </c>
      <c r="I45" s="517">
        <f t="shared" si="11"/>
        <v>380993941.88613909</v>
      </c>
      <c r="M45" s="90">
        <v>13</v>
      </c>
      <c r="N45" s="91" t="s">
        <v>22</v>
      </c>
      <c r="O45" s="92"/>
      <c r="P45" s="93">
        <v>229001664</v>
      </c>
      <c r="Q45" s="94">
        <v>402533623.17879999</v>
      </c>
      <c r="R45" s="95"/>
      <c r="S45" s="95"/>
      <c r="T45" s="93">
        <v>229001664</v>
      </c>
      <c r="U45" s="96">
        <v>410161436.33886957</v>
      </c>
    </row>
    <row r="49" spans="1:9" ht="16.5" x14ac:dyDescent="0.3">
      <c r="A49" s="934" t="s">
        <v>723</v>
      </c>
      <c r="B49" s="935"/>
      <c r="C49" s="935"/>
      <c r="D49" s="7"/>
      <c r="E49" s="252"/>
      <c r="F49" s="252"/>
      <c r="I49" s="936" t="s">
        <v>724</v>
      </c>
    </row>
    <row r="50" spans="1:9" ht="16.5" x14ac:dyDescent="0.3">
      <c r="A50" s="934" t="s">
        <v>725</v>
      </c>
      <c r="B50" s="935"/>
      <c r="C50" s="935"/>
      <c r="D50" s="7"/>
      <c r="E50" s="252"/>
      <c r="F50" s="252"/>
      <c r="I50" s="937" t="s">
        <v>726</v>
      </c>
    </row>
    <row r="51" spans="1:9" ht="15.75" x14ac:dyDescent="0.25">
      <c r="A51" s="7"/>
      <c r="B51" s="7"/>
      <c r="C51" s="7"/>
      <c r="D51" s="7"/>
      <c r="E51" s="252"/>
      <c r="F51" s="252"/>
      <c r="I51" s="7"/>
    </row>
    <row r="52" spans="1:9" ht="15.75" x14ac:dyDescent="0.25">
      <c r="A52" s="7"/>
      <c r="B52" s="7"/>
      <c r="C52" s="7"/>
      <c r="D52" s="7"/>
      <c r="E52" s="252"/>
      <c r="F52" s="252"/>
      <c r="I52" s="7"/>
    </row>
    <row r="53" spans="1:9" ht="15.75" x14ac:dyDescent="0.25">
      <c r="A53" s="7"/>
      <c r="B53" s="7"/>
      <c r="C53" s="7"/>
      <c r="D53" s="7"/>
      <c r="E53" s="252"/>
      <c r="F53" s="252"/>
      <c r="I53" s="7"/>
    </row>
    <row r="54" spans="1:9" ht="15.75" x14ac:dyDescent="0.25">
      <c r="A54" s="7"/>
      <c r="B54" s="7"/>
      <c r="C54" s="7"/>
      <c r="D54" s="7"/>
      <c r="E54" s="252"/>
      <c r="F54" s="252"/>
      <c r="I54" s="7"/>
    </row>
    <row r="55" spans="1:9" ht="15.75" x14ac:dyDescent="0.25">
      <c r="A55" s="946" t="s">
        <v>731</v>
      </c>
      <c r="B55" s="939"/>
      <c r="C55" s="940"/>
      <c r="D55" s="7"/>
      <c r="E55" s="252"/>
      <c r="F55" s="252"/>
      <c r="I55" s="941" t="s">
        <v>728</v>
      </c>
    </row>
    <row r="56" spans="1:9" ht="15.75" x14ac:dyDescent="0.25">
      <c r="A56" s="946" t="s">
        <v>732</v>
      </c>
      <c r="B56" s="942"/>
      <c r="C56" s="940"/>
      <c r="D56" s="7"/>
      <c r="E56" s="252"/>
      <c r="F56" s="252"/>
      <c r="I56" s="941" t="s">
        <v>730</v>
      </c>
    </row>
  </sheetData>
  <mergeCells count="64">
    <mergeCell ref="P35:Q35"/>
    <mergeCell ref="T35:U35"/>
    <mergeCell ref="R19:S19"/>
    <mergeCell ref="T19:U19"/>
    <mergeCell ref="P21:Q21"/>
    <mergeCell ref="R21:S21"/>
    <mergeCell ref="T21:U21"/>
    <mergeCell ref="M32:M34"/>
    <mergeCell ref="N32:N34"/>
    <mergeCell ref="O32:O34"/>
    <mergeCell ref="P32:U32"/>
    <mergeCell ref="P33:Q33"/>
    <mergeCell ref="T33:U33"/>
    <mergeCell ref="R5:S5"/>
    <mergeCell ref="T5:U5"/>
    <mergeCell ref="P7:Q7"/>
    <mergeCell ref="R7:S7"/>
    <mergeCell ref="T7:U7"/>
    <mergeCell ref="M18:M20"/>
    <mergeCell ref="N18:N20"/>
    <mergeCell ref="O18:O20"/>
    <mergeCell ref="P18:U18"/>
    <mergeCell ref="P19:Q19"/>
    <mergeCell ref="D35:E35"/>
    <mergeCell ref="H35:I35"/>
    <mergeCell ref="M1:U1"/>
    <mergeCell ref="M2:U2"/>
    <mergeCell ref="M3:U3"/>
    <mergeCell ref="M4:M6"/>
    <mergeCell ref="N4:N6"/>
    <mergeCell ref="O4:O6"/>
    <mergeCell ref="P4:U4"/>
    <mergeCell ref="P5:Q5"/>
    <mergeCell ref="D21:E21"/>
    <mergeCell ref="F21:G21"/>
    <mergeCell ref="H21:I21"/>
    <mergeCell ref="D7:E7"/>
    <mergeCell ref="F7:G7"/>
    <mergeCell ref="H7:I7"/>
    <mergeCell ref="F19:G19"/>
    <mergeCell ref="H19:I19"/>
    <mergeCell ref="A32:A34"/>
    <mergeCell ref="B32:B34"/>
    <mergeCell ref="C32:C34"/>
    <mergeCell ref="D32:I32"/>
    <mergeCell ref="D33:E33"/>
    <mergeCell ref="H33:I33"/>
    <mergeCell ref="F33:G33"/>
    <mergeCell ref="F35:G35"/>
    <mergeCell ref="A1:I1"/>
    <mergeCell ref="A2:I2"/>
    <mergeCell ref="A3:I3"/>
    <mergeCell ref="A4:A6"/>
    <mergeCell ref="B4:B6"/>
    <mergeCell ref="C4:C6"/>
    <mergeCell ref="D4:I4"/>
    <mergeCell ref="D5:E5"/>
    <mergeCell ref="F5:G5"/>
    <mergeCell ref="H5:I5"/>
    <mergeCell ref="A18:A20"/>
    <mergeCell ref="B18:B20"/>
    <mergeCell ref="C18:C20"/>
    <mergeCell ref="D18:I18"/>
    <mergeCell ref="D19:E19"/>
  </mergeCells>
  <pageMargins left="0.7" right="0.7" top="0.75" bottom="0.75" header="0.3" footer="0.3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I50"/>
  <sheetViews>
    <sheetView topLeftCell="A22" zoomScaleNormal="100" workbookViewId="0">
      <selection activeCell="C37" sqref="C37"/>
    </sheetView>
  </sheetViews>
  <sheetFormatPr defaultRowHeight="16.5" x14ac:dyDescent="0.3"/>
  <cols>
    <col min="1" max="1" width="6.7109375" style="521" bestFit="1" customWidth="1"/>
    <col min="2" max="2" width="61.42578125" style="521" bestFit="1" customWidth="1"/>
    <col min="3" max="3" width="17.7109375" style="521" bestFit="1" customWidth="1"/>
    <col min="4" max="4" width="11.5703125" style="521" bestFit="1" customWidth="1"/>
    <col min="5" max="5" width="14.42578125" style="521" bestFit="1" customWidth="1"/>
    <col min="6" max="6" width="34.28515625" style="521" bestFit="1" customWidth="1"/>
    <col min="7" max="7" width="8" style="521" bestFit="1" customWidth="1"/>
    <col min="8" max="8" width="12.5703125" style="521" bestFit="1" customWidth="1"/>
    <col min="9" max="16384" width="9.140625" style="521"/>
  </cols>
  <sheetData>
    <row r="1" spans="1:9" ht="17.25" thickBot="1" x14ac:dyDescent="0.35">
      <c r="A1" s="1100" t="s">
        <v>574</v>
      </c>
      <c r="B1" s="1101"/>
      <c r="C1" s="1101"/>
      <c r="D1" s="1101"/>
      <c r="E1" s="1102"/>
      <c r="F1" s="520"/>
      <c r="G1" s="520"/>
      <c r="H1" s="520"/>
      <c r="I1" s="520"/>
    </row>
    <row r="2" spans="1:9" ht="17.25" thickBot="1" x14ac:dyDescent="0.35">
      <c r="A2" s="1027" t="s">
        <v>360</v>
      </c>
      <c r="B2" s="1028"/>
      <c r="C2" s="1028"/>
      <c r="D2" s="1028"/>
      <c r="E2" s="1029"/>
      <c r="F2" s="520"/>
      <c r="G2" s="520"/>
      <c r="H2" s="520"/>
      <c r="I2" s="520"/>
    </row>
    <row r="3" spans="1:9" x14ac:dyDescent="0.3">
      <c r="A3" s="1103" t="s">
        <v>570</v>
      </c>
      <c r="B3" s="1104"/>
      <c r="C3" s="1104"/>
      <c r="D3" s="1104"/>
      <c r="E3" s="1105"/>
      <c r="F3" s="520"/>
      <c r="G3" s="520"/>
      <c r="H3" s="520"/>
      <c r="I3" s="520"/>
    </row>
    <row r="4" spans="1:9" x14ac:dyDescent="0.3">
      <c r="A4" s="1106" t="s">
        <v>0</v>
      </c>
      <c r="B4" s="1014" t="s">
        <v>74</v>
      </c>
      <c r="C4" s="401" t="s">
        <v>402</v>
      </c>
      <c r="D4" s="401" t="s">
        <v>402</v>
      </c>
      <c r="E4" s="402" t="s">
        <v>392</v>
      </c>
      <c r="F4" s="520"/>
      <c r="G4" s="520"/>
      <c r="H4" s="520"/>
      <c r="I4" s="520"/>
    </row>
    <row r="5" spans="1:9" ht="33" x14ac:dyDescent="0.3">
      <c r="A5" s="1106"/>
      <c r="B5" s="1014"/>
      <c r="C5" s="424" t="s">
        <v>3</v>
      </c>
      <c r="D5" s="424" t="s">
        <v>687</v>
      </c>
      <c r="E5" s="522" t="s">
        <v>3</v>
      </c>
      <c r="F5" s="520"/>
      <c r="G5" s="520"/>
      <c r="H5" s="520"/>
      <c r="I5" s="520"/>
    </row>
    <row r="6" spans="1:9" x14ac:dyDescent="0.3">
      <c r="A6" s="523">
        <v>1</v>
      </c>
      <c r="B6" s="524">
        <v>2</v>
      </c>
      <c r="C6" s="524">
        <v>3</v>
      </c>
      <c r="D6" s="524">
        <v>4</v>
      </c>
      <c r="E6" s="525">
        <v>5</v>
      </c>
      <c r="F6" s="520"/>
      <c r="G6" s="520"/>
      <c r="H6" s="520"/>
      <c r="I6" s="520"/>
    </row>
    <row r="7" spans="1:9" ht="17.25" thickBot="1" x14ac:dyDescent="0.35">
      <c r="A7" s="526">
        <v>1</v>
      </c>
      <c r="B7" s="527" t="s">
        <v>393</v>
      </c>
      <c r="C7" s="564"/>
      <c r="D7" s="528"/>
      <c r="E7" s="529"/>
      <c r="F7" s="520"/>
      <c r="G7" s="530"/>
      <c r="H7" s="520"/>
      <c r="I7" s="520"/>
    </row>
    <row r="8" spans="1:9" x14ac:dyDescent="0.3">
      <c r="A8" s="531" t="s">
        <v>75</v>
      </c>
      <c r="B8" s="497" t="s">
        <v>76</v>
      </c>
      <c r="C8" s="563">
        <f>3300*11.22%</f>
        <v>370.26000000000005</v>
      </c>
      <c r="D8" s="532"/>
      <c r="E8" s="533">
        <v>370.26000000000005</v>
      </c>
      <c r="F8" s="520"/>
      <c r="G8" s="520"/>
      <c r="H8" s="520"/>
      <c r="I8" s="520"/>
    </row>
    <row r="9" spans="1:9" x14ac:dyDescent="0.3">
      <c r="A9" s="534" t="s">
        <v>77</v>
      </c>
      <c r="B9" s="210" t="s">
        <v>78</v>
      </c>
      <c r="C9" s="535">
        <f>+E9+E12</f>
        <v>276.28929999999997</v>
      </c>
      <c r="D9" s="536"/>
      <c r="E9" s="537">
        <v>247.51</v>
      </c>
      <c r="F9" s="520"/>
      <c r="G9" s="520"/>
      <c r="H9" s="520"/>
      <c r="I9" s="520"/>
    </row>
    <row r="10" spans="1:9" x14ac:dyDescent="0.3">
      <c r="A10" s="534" t="s">
        <v>79</v>
      </c>
      <c r="B10" s="210" t="s">
        <v>80</v>
      </c>
      <c r="C10" s="535">
        <f>C8-C9</f>
        <v>93.970700000000079</v>
      </c>
      <c r="D10" s="536"/>
      <c r="E10" s="537">
        <f>E8-E9</f>
        <v>122.75000000000006</v>
      </c>
      <c r="F10" s="520"/>
      <c r="G10" s="520"/>
      <c r="H10" s="520"/>
      <c r="I10" s="520"/>
    </row>
    <row r="11" spans="1:9" x14ac:dyDescent="0.3">
      <c r="A11" s="534" t="s">
        <v>81</v>
      </c>
      <c r="B11" s="210" t="s">
        <v>82</v>
      </c>
      <c r="C11" s="538">
        <v>0</v>
      </c>
      <c r="D11" s="536"/>
      <c r="E11" s="537">
        <v>0</v>
      </c>
      <c r="F11" s="520"/>
      <c r="G11" s="520"/>
      <c r="H11" s="520"/>
      <c r="I11" s="520"/>
    </row>
    <row r="12" spans="1:9" x14ac:dyDescent="0.3">
      <c r="A12" s="534" t="s">
        <v>83</v>
      </c>
      <c r="B12" s="210" t="s">
        <v>84</v>
      </c>
      <c r="C12" s="535">
        <v>93.97</v>
      </c>
      <c r="D12" s="536"/>
      <c r="E12" s="537">
        <v>28.779299999999999</v>
      </c>
      <c r="F12" s="520"/>
      <c r="G12" s="520"/>
      <c r="H12" s="520"/>
      <c r="I12" s="520"/>
    </row>
    <row r="13" spans="1:9" x14ac:dyDescent="0.3">
      <c r="A13" s="534" t="s">
        <v>85</v>
      </c>
      <c r="B13" s="210" t="s">
        <v>86</v>
      </c>
      <c r="C13" s="535">
        <f>+C10-C12</f>
        <v>7.0000000008008101E-4</v>
      </c>
      <c r="D13" s="536"/>
      <c r="E13" s="537">
        <f>+E10-E12</f>
        <v>93.970700000000051</v>
      </c>
      <c r="F13" s="520"/>
      <c r="G13" s="520"/>
      <c r="H13" s="520"/>
      <c r="I13" s="520"/>
    </row>
    <row r="14" spans="1:9" x14ac:dyDescent="0.3">
      <c r="A14" s="534" t="s">
        <v>87</v>
      </c>
      <c r="B14" s="210" t="s">
        <v>88</v>
      </c>
      <c r="C14" s="535"/>
      <c r="D14" s="922"/>
      <c r="E14" s="923"/>
      <c r="F14" s="539" t="s">
        <v>571</v>
      </c>
      <c r="G14" s="520"/>
      <c r="H14" s="520"/>
      <c r="I14" s="520"/>
    </row>
    <row r="15" spans="1:9" x14ac:dyDescent="0.3">
      <c r="A15" s="534" t="s">
        <v>89</v>
      </c>
      <c r="B15" s="210" t="s">
        <v>90</v>
      </c>
      <c r="C15" s="535">
        <v>0.10199999999999999</v>
      </c>
      <c r="D15" s="536"/>
      <c r="E15" s="537">
        <v>0.10199999999999999</v>
      </c>
      <c r="F15" s="520"/>
      <c r="G15" s="520"/>
      <c r="H15" s="520"/>
      <c r="I15" s="520"/>
    </row>
    <row r="16" spans="1:9" x14ac:dyDescent="0.3">
      <c r="A16" s="534" t="s">
        <v>91</v>
      </c>
      <c r="B16" s="210" t="s">
        <v>92</v>
      </c>
      <c r="C16" s="535">
        <f>+'[5]Expenses %'!$C$35/100000</f>
        <v>7.8484965900000008</v>
      </c>
      <c r="D16" s="536"/>
      <c r="E16" s="537">
        <v>12.557813334</v>
      </c>
      <c r="F16" s="520"/>
      <c r="G16" s="520"/>
      <c r="H16" s="520"/>
      <c r="I16" s="520"/>
    </row>
    <row r="17" spans="1:9" x14ac:dyDescent="0.3">
      <c r="A17" s="534" t="s">
        <v>93</v>
      </c>
      <c r="B17" s="540" t="s">
        <v>94</v>
      </c>
      <c r="C17" s="538" t="s">
        <v>312</v>
      </c>
      <c r="D17" s="536"/>
      <c r="E17" s="541" t="s">
        <v>312</v>
      </c>
      <c r="F17" s="520"/>
      <c r="G17" s="520"/>
      <c r="H17" s="520"/>
      <c r="I17" s="520"/>
    </row>
    <row r="18" spans="1:9" x14ac:dyDescent="0.3">
      <c r="A18" s="542">
        <v>2</v>
      </c>
      <c r="B18" s="359" t="s">
        <v>394</v>
      </c>
      <c r="C18" s="543"/>
      <c r="D18" s="544"/>
      <c r="E18" s="545"/>
      <c r="F18" s="520"/>
      <c r="G18" s="520"/>
      <c r="H18" s="520"/>
      <c r="I18" s="520"/>
    </row>
    <row r="19" spans="1:9" x14ac:dyDescent="0.3">
      <c r="A19" s="534" t="s">
        <v>75</v>
      </c>
      <c r="B19" s="210" t="s">
        <v>76</v>
      </c>
      <c r="C19" s="535">
        <v>1069.56</v>
      </c>
      <c r="D19" s="536"/>
      <c r="E19" s="537">
        <v>1069.56</v>
      </c>
      <c r="F19" s="546"/>
      <c r="G19" s="546"/>
      <c r="H19" s="520"/>
      <c r="I19" s="520"/>
    </row>
    <row r="20" spans="1:9" x14ac:dyDescent="0.3">
      <c r="A20" s="534" t="s">
        <v>77</v>
      </c>
      <c r="B20" s="210" t="s">
        <v>78</v>
      </c>
      <c r="C20" s="535">
        <f>+E20+E23</f>
        <v>292.829748236</v>
      </c>
      <c r="D20" s="536"/>
      <c r="E20" s="537">
        <v>235.26</v>
      </c>
      <c r="F20" s="520"/>
      <c r="G20" s="520"/>
      <c r="H20" s="520"/>
      <c r="I20" s="520"/>
    </row>
    <row r="21" spans="1:9" x14ac:dyDescent="0.3">
      <c r="A21" s="534" t="s">
        <v>79</v>
      </c>
      <c r="B21" s="210" t="s">
        <v>80</v>
      </c>
      <c r="C21" s="535">
        <f>+C19-C20</f>
        <v>776.73025176399995</v>
      </c>
      <c r="D21" s="536"/>
      <c r="E21" s="537">
        <f>+E19-E20</f>
        <v>834.3</v>
      </c>
      <c r="F21" s="546"/>
      <c r="G21" s="546"/>
      <c r="H21" s="520"/>
      <c r="I21" s="520"/>
    </row>
    <row r="22" spans="1:9" x14ac:dyDescent="0.3">
      <c r="A22" s="534" t="s">
        <v>81</v>
      </c>
      <c r="B22" s="210" t="s">
        <v>82</v>
      </c>
      <c r="C22" s="535">
        <v>0</v>
      </c>
      <c r="D22" s="536"/>
      <c r="E22" s="537">
        <v>0</v>
      </c>
      <c r="F22" s="520"/>
      <c r="G22" s="520"/>
      <c r="H22" s="520"/>
      <c r="I22" s="520"/>
    </row>
    <row r="23" spans="1:9" x14ac:dyDescent="0.3">
      <c r="A23" s="534" t="s">
        <v>83</v>
      </c>
      <c r="B23" s="210" t="s">
        <v>84</v>
      </c>
      <c r="C23" s="562">
        <f>+'[5]Expenses %'!$C$39/100000</f>
        <v>77.150090000000006</v>
      </c>
      <c r="D23" s="561"/>
      <c r="E23" s="537">
        <v>57.569748235999995</v>
      </c>
      <c r="F23" s="520"/>
      <c r="G23" s="520"/>
      <c r="H23" s="520"/>
      <c r="I23" s="520"/>
    </row>
    <row r="24" spans="1:9" x14ac:dyDescent="0.3">
      <c r="A24" s="534" t="s">
        <v>85</v>
      </c>
      <c r="B24" s="210" t="s">
        <v>86</v>
      </c>
      <c r="C24" s="562">
        <f>+C21-C23</f>
        <v>699.58016176399997</v>
      </c>
      <c r="D24" s="561"/>
      <c r="E24" s="537">
        <f>+E21-E23</f>
        <v>776.73025176399995</v>
      </c>
      <c r="F24" s="520"/>
      <c r="G24" s="520"/>
      <c r="H24" s="520"/>
      <c r="I24" s="520"/>
    </row>
    <row r="25" spans="1:9" x14ac:dyDescent="0.3">
      <c r="A25" s="534" t="s">
        <v>87</v>
      </c>
      <c r="B25" s="210" t="s">
        <v>88</v>
      </c>
      <c r="C25" s="535"/>
      <c r="D25" s="922"/>
      <c r="E25" s="923"/>
      <c r="F25" s="539" t="s">
        <v>571</v>
      </c>
      <c r="G25" s="520"/>
      <c r="H25" s="520"/>
      <c r="I25" s="520"/>
    </row>
    <row r="26" spans="1:9" x14ac:dyDescent="0.3">
      <c r="A26" s="534" t="s">
        <v>89</v>
      </c>
      <c r="B26" s="210" t="s">
        <v>90</v>
      </c>
      <c r="C26" s="535">
        <v>10.3</v>
      </c>
      <c r="D26" s="536"/>
      <c r="E26" s="537">
        <v>10.3</v>
      </c>
      <c r="F26" s="520"/>
      <c r="G26" s="520"/>
      <c r="H26" s="520"/>
      <c r="I26" s="520"/>
    </row>
    <row r="27" spans="1:9" x14ac:dyDescent="0.3">
      <c r="A27" s="534" t="s">
        <v>91</v>
      </c>
      <c r="B27" s="210" t="s">
        <v>92</v>
      </c>
      <c r="C27" s="535">
        <f>+'[5]Expenses %'!$C$38/100000</f>
        <v>113.99831</v>
      </c>
      <c r="D27" s="536"/>
      <c r="E27" s="537">
        <f>(+'[6]Expenses %'!$B$39*5.72%)/100000</f>
        <v>133.57878648400001</v>
      </c>
      <c r="F27" s="548"/>
      <c r="G27" s="546"/>
      <c r="H27" s="520"/>
      <c r="I27" s="520"/>
    </row>
    <row r="28" spans="1:9" ht="32.25" x14ac:dyDescent="0.3">
      <c r="A28" s="534" t="s">
        <v>93</v>
      </c>
      <c r="B28" s="540" t="s">
        <v>94</v>
      </c>
      <c r="C28" s="547" t="s">
        <v>575</v>
      </c>
      <c r="D28" s="536"/>
      <c r="E28" s="549" t="s">
        <v>572</v>
      </c>
      <c r="F28" s="520"/>
      <c r="G28" s="520"/>
      <c r="H28" s="520"/>
      <c r="I28" s="520"/>
    </row>
    <row r="29" spans="1:9" x14ac:dyDescent="0.3">
      <c r="A29" s="542">
        <v>3</v>
      </c>
      <c r="B29" s="359" t="s">
        <v>95</v>
      </c>
      <c r="C29" s="550"/>
      <c r="D29" s="544"/>
      <c r="E29" s="545"/>
      <c r="F29" s="520"/>
      <c r="G29" s="520"/>
      <c r="H29" s="520"/>
      <c r="I29" s="520"/>
    </row>
    <row r="30" spans="1:9" x14ac:dyDescent="0.3">
      <c r="A30" s="534" t="s">
        <v>75</v>
      </c>
      <c r="B30" s="210" t="s">
        <v>76</v>
      </c>
      <c r="C30" s="535">
        <f>+C19+C8</f>
        <v>1439.82</v>
      </c>
      <c r="D30" s="536"/>
      <c r="E30" s="537">
        <f>+E19+E8</f>
        <v>1439.82</v>
      </c>
      <c r="F30" s="520"/>
      <c r="G30" s="520"/>
      <c r="H30" s="520"/>
      <c r="I30" s="520"/>
    </row>
    <row r="31" spans="1:9" x14ac:dyDescent="0.3">
      <c r="A31" s="534" t="s">
        <v>77</v>
      </c>
      <c r="B31" s="210" t="s">
        <v>78</v>
      </c>
      <c r="C31" s="535">
        <f>+C20+C9</f>
        <v>569.11904823600003</v>
      </c>
      <c r="D31" s="536"/>
      <c r="E31" s="537">
        <f>+E20+E9</f>
        <v>482.77</v>
      </c>
      <c r="F31" s="520"/>
      <c r="G31" s="520"/>
      <c r="H31" s="520"/>
      <c r="I31" s="520"/>
    </row>
    <row r="32" spans="1:9" x14ac:dyDescent="0.3">
      <c r="A32" s="534" t="s">
        <v>79</v>
      </c>
      <c r="B32" s="210" t="s">
        <v>80</v>
      </c>
      <c r="C32" s="535">
        <f>+C21+C10</f>
        <v>870.70095176400002</v>
      </c>
      <c r="D32" s="536"/>
      <c r="E32" s="537">
        <f>+E21+E10</f>
        <v>957.05</v>
      </c>
      <c r="F32" s="520"/>
      <c r="G32" s="520"/>
      <c r="H32" s="520"/>
      <c r="I32" s="520"/>
    </row>
    <row r="33" spans="1:9" x14ac:dyDescent="0.3">
      <c r="A33" s="534" t="s">
        <v>81</v>
      </c>
      <c r="B33" s="210" t="s">
        <v>82</v>
      </c>
      <c r="C33" s="535">
        <f t="shared" ref="C33:E35" si="0">+C22+C11</f>
        <v>0</v>
      </c>
      <c r="D33" s="536"/>
      <c r="E33" s="537">
        <f t="shared" si="0"/>
        <v>0</v>
      </c>
      <c r="F33" s="520"/>
      <c r="G33" s="520"/>
      <c r="H33" s="520"/>
      <c r="I33" s="520"/>
    </row>
    <row r="34" spans="1:9" x14ac:dyDescent="0.3">
      <c r="A34" s="534" t="s">
        <v>83</v>
      </c>
      <c r="B34" s="210" t="s">
        <v>84</v>
      </c>
      <c r="C34" s="535">
        <f t="shared" si="0"/>
        <v>171.12009</v>
      </c>
      <c r="D34" s="536"/>
      <c r="E34" s="537">
        <f t="shared" si="0"/>
        <v>86.349048235999987</v>
      </c>
      <c r="F34" s="520"/>
      <c r="G34" s="520"/>
      <c r="H34" s="520"/>
      <c r="I34" s="520"/>
    </row>
    <row r="35" spans="1:9" x14ac:dyDescent="0.3">
      <c r="A35" s="534" t="s">
        <v>85</v>
      </c>
      <c r="B35" s="210" t="s">
        <v>86</v>
      </c>
      <c r="C35" s="535">
        <f t="shared" si="0"/>
        <v>699.58086176400002</v>
      </c>
      <c r="D35" s="536"/>
      <c r="E35" s="537">
        <f t="shared" si="0"/>
        <v>870.70095176400002</v>
      </c>
      <c r="F35" s="520"/>
      <c r="G35" s="520"/>
      <c r="H35" s="520"/>
      <c r="I35" s="520"/>
    </row>
    <row r="36" spans="1:9" x14ac:dyDescent="0.3">
      <c r="A36" s="534" t="s">
        <v>87</v>
      </c>
      <c r="B36" s="210" t="s">
        <v>88</v>
      </c>
      <c r="C36" s="535"/>
      <c r="D36" s="922"/>
      <c r="E36" s="923"/>
      <c r="F36" s="551" t="s">
        <v>573</v>
      </c>
      <c r="G36" s="520"/>
      <c r="H36" s="520"/>
      <c r="I36" s="520"/>
    </row>
    <row r="37" spans="1:9" x14ac:dyDescent="0.3">
      <c r="A37" s="552" t="s">
        <v>89</v>
      </c>
      <c r="B37" s="356" t="s">
        <v>96</v>
      </c>
      <c r="C37" s="553">
        <f>+C16+C27</f>
        <v>121.84680659</v>
      </c>
      <c r="D37" s="554">
        <v>84.4</v>
      </c>
      <c r="E37" s="565">
        <f>+E16+E27</f>
        <v>146.13659981800001</v>
      </c>
      <c r="F37" s="520"/>
      <c r="G37" s="520"/>
      <c r="H37" s="520"/>
      <c r="I37" s="520"/>
    </row>
    <row r="38" spans="1:9" ht="17.25" thickBot="1" x14ac:dyDescent="0.35">
      <c r="A38" s="555" t="s">
        <v>91</v>
      </c>
      <c r="B38" s="362" t="s">
        <v>97</v>
      </c>
      <c r="C38" s="924">
        <v>0</v>
      </c>
      <c r="D38" s="556"/>
      <c r="E38" s="557">
        <v>0</v>
      </c>
      <c r="F38" s="558">
        <f>146.14/((C35+C30)/2)</f>
        <v>0.13661768826203349</v>
      </c>
      <c r="G38" s="558">
        <f>E37/((E35+E30)/2)</f>
        <v>0.12649666708837237</v>
      </c>
      <c r="H38" s="539" t="s">
        <v>571</v>
      </c>
      <c r="I38" s="520"/>
    </row>
    <row r="39" spans="1:9" ht="18.75" x14ac:dyDescent="0.3">
      <c r="A39" s="559"/>
      <c r="B39" s="1098" t="s">
        <v>693</v>
      </c>
      <c r="C39" s="1099"/>
      <c r="D39" s="1099"/>
      <c r="E39" s="1099"/>
      <c r="F39" s="560"/>
      <c r="G39" s="560"/>
      <c r="H39" s="560"/>
      <c r="I39" s="560"/>
    </row>
    <row r="43" spans="1:9" x14ac:dyDescent="0.3">
      <c r="A43" s="934" t="s">
        <v>723</v>
      </c>
      <c r="B43" s="935"/>
      <c r="D43" s="59"/>
      <c r="E43" s="936" t="s">
        <v>724</v>
      </c>
      <c r="F43" s="252"/>
      <c r="G43" s="59"/>
    </row>
    <row r="44" spans="1:9" x14ac:dyDescent="0.3">
      <c r="A44" s="934" t="s">
        <v>725</v>
      </c>
      <c r="B44" s="935"/>
      <c r="D44" s="59"/>
      <c r="E44" s="937" t="s">
        <v>726</v>
      </c>
      <c r="F44" s="252"/>
      <c r="G44" s="59"/>
    </row>
    <row r="45" spans="1:9" x14ac:dyDescent="0.3">
      <c r="A45" s="7"/>
      <c r="B45" s="7"/>
      <c r="D45" s="59"/>
      <c r="E45" s="7"/>
      <c r="F45" s="252"/>
      <c r="G45" s="59"/>
    </row>
    <row r="46" spans="1:9" x14ac:dyDescent="0.3">
      <c r="A46" s="7"/>
      <c r="B46" s="7"/>
      <c r="D46" s="59"/>
      <c r="E46" s="7"/>
      <c r="F46" s="252"/>
      <c r="G46" s="59"/>
    </row>
    <row r="47" spans="1:9" x14ac:dyDescent="0.3">
      <c r="A47" s="7"/>
      <c r="B47" s="7"/>
      <c r="D47" s="59"/>
      <c r="E47" s="7"/>
      <c r="F47" s="252"/>
      <c r="G47" s="59"/>
    </row>
    <row r="48" spans="1:9" x14ac:dyDescent="0.3">
      <c r="A48" s="7"/>
      <c r="B48" s="7"/>
      <c r="D48" s="59"/>
      <c r="E48" s="7"/>
      <c r="F48" s="252"/>
      <c r="G48" s="59"/>
    </row>
    <row r="49" spans="1:7" x14ac:dyDescent="0.3">
      <c r="A49" s="946" t="s">
        <v>731</v>
      </c>
      <c r="B49" s="939"/>
      <c r="D49" s="59"/>
      <c r="E49" s="941" t="s">
        <v>728</v>
      </c>
      <c r="F49" s="252"/>
      <c r="G49" s="59"/>
    </row>
    <row r="50" spans="1:7" x14ac:dyDescent="0.3">
      <c r="A50" s="946" t="s">
        <v>732</v>
      </c>
      <c r="B50" s="942"/>
      <c r="D50" s="59"/>
      <c r="E50" s="941" t="s">
        <v>730</v>
      </c>
      <c r="F50" s="252"/>
      <c r="G50" s="59"/>
    </row>
  </sheetData>
  <mergeCells count="6">
    <mergeCell ref="B39:E39"/>
    <mergeCell ref="A1:E1"/>
    <mergeCell ref="A2:E2"/>
    <mergeCell ref="A3:E3"/>
    <mergeCell ref="A4:A5"/>
    <mergeCell ref="B4:B5"/>
  </mergeCells>
  <pageMargins left="0.7" right="0.7" top="0.75" bottom="0.75" header="0.3" footer="0.3"/>
  <pageSetup scale="80" orientation="portrait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C00000"/>
  </sheetPr>
  <dimension ref="A1:N25"/>
  <sheetViews>
    <sheetView view="pageBreakPreview" zoomScale="60" zoomScaleNormal="100" workbookViewId="0">
      <selection activeCell="C14" sqref="C14"/>
    </sheetView>
  </sheetViews>
  <sheetFormatPr defaultRowHeight="15" x14ac:dyDescent="0.25"/>
  <cols>
    <col min="1" max="1" width="9.28515625" bestFit="1" customWidth="1"/>
    <col min="2" max="2" width="41" customWidth="1"/>
    <col min="3" max="3" width="10.42578125" bestFit="1" customWidth="1"/>
    <col min="4" max="4" width="11.5703125" customWidth="1"/>
    <col min="5" max="5" width="10.140625" bestFit="1" customWidth="1"/>
    <col min="6" max="6" width="10.7109375" customWidth="1"/>
    <col min="10" max="10" width="11.140625" customWidth="1"/>
    <col min="11" max="11" width="9.140625" customWidth="1"/>
  </cols>
  <sheetData>
    <row r="1" spans="1:14" ht="17.25" thickBot="1" x14ac:dyDescent="0.35">
      <c r="A1" s="1107" t="s">
        <v>587</v>
      </c>
      <c r="B1" s="1108"/>
      <c r="C1" s="1108"/>
      <c r="D1" s="1108"/>
      <c r="E1" s="1108"/>
      <c r="F1" s="1109"/>
      <c r="G1" s="252"/>
    </row>
    <row r="2" spans="1:14" ht="16.5" thickBot="1" x14ac:dyDescent="0.3">
      <c r="A2" s="1027" t="s">
        <v>360</v>
      </c>
      <c r="B2" s="1028"/>
      <c r="C2" s="1028"/>
      <c r="D2" s="1028"/>
      <c r="E2" s="1028"/>
      <c r="F2" s="1029"/>
      <c r="G2" s="252"/>
    </row>
    <row r="3" spans="1:14" ht="16.5" thickBot="1" x14ac:dyDescent="0.3">
      <c r="A3" s="1027" t="s">
        <v>291</v>
      </c>
      <c r="B3" s="1028"/>
      <c r="C3" s="1028"/>
      <c r="D3" s="1028"/>
      <c r="E3" s="1028"/>
      <c r="F3" s="1029"/>
      <c r="G3" s="252"/>
    </row>
    <row r="4" spans="1:14" ht="16.5" x14ac:dyDescent="0.25">
      <c r="A4" s="1037" t="s">
        <v>98</v>
      </c>
      <c r="B4" s="1111" t="s">
        <v>1</v>
      </c>
      <c r="C4" s="442" t="s">
        <v>402</v>
      </c>
      <c r="D4" s="442" t="s">
        <v>402</v>
      </c>
      <c r="E4" s="442" t="s">
        <v>392</v>
      </c>
      <c r="F4" s="566" t="s">
        <v>2</v>
      </c>
      <c r="G4" s="252"/>
    </row>
    <row r="5" spans="1:14" ht="33" x14ac:dyDescent="0.3">
      <c r="A5" s="1110"/>
      <c r="B5" s="1112"/>
      <c r="C5" s="424" t="s">
        <v>3</v>
      </c>
      <c r="D5" s="440" t="s">
        <v>687</v>
      </c>
      <c r="E5" s="424" t="s">
        <v>3</v>
      </c>
      <c r="F5" s="567"/>
      <c r="G5" s="252"/>
    </row>
    <row r="6" spans="1:14" ht="16.5" x14ac:dyDescent="0.25">
      <c r="A6" s="568">
        <v>1</v>
      </c>
      <c r="B6" s="569">
        <v>2</v>
      </c>
      <c r="C6" s="569">
        <v>3</v>
      </c>
      <c r="D6" s="569">
        <v>4</v>
      </c>
      <c r="E6" s="569">
        <v>5</v>
      </c>
      <c r="F6" s="570">
        <v>6</v>
      </c>
      <c r="G6" s="252"/>
    </row>
    <row r="7" spans="1:14" ht="16.5" thickBot="1" x14ac:dyDescent="0.3">
      <c r="A7" s="571">
        <v>1</v>
      </c>
      <c r="B7" s="572" t="s">
        <v>576</v>
      </c>
      <c r="C7" s="535">
        <v>49.678690025000002</v>
      </c>
      <c r="D7" s="510"/>
      <c r="E7" s="535">
        <v>38.013433124999999</v>
      </c>
      <c r="F7" s="573"/>
      <c r="G7" s="252"/>
    </row>
    <row r="8" spans="1:14" ht="16.5" x14ac:dyDescent="0.3">
      <c r="A8" s="571">
        <v>2</v>
      </c>
      <c r="B8" s="572" t="s">
        <v>577</v>
      </c>
      <c r="C8" s="535">
        <v>0</v>
      </c>
      <c r="D8" s="510"/>
      <c r="E8" s="535">
        <v>0</v>
      </c>
      <c r="F8" s="573"/>
      <c r="G8" s="574" t="s">
        <v>571</v>
      </c>
      <c r="I8" s="99" t="s">
        <v>578</v>
      </c>
      <c r="J8" s="100"/>
      <c r="K8" s="100"/>
      <c r="L8" s="104"/>
      <c r="M8" s="104"/>
      <c r="N8" s="105"/>
    </row>
    <row r="9" spans="1:14" ht="15.75" x14ac:dyDescent="0.25">
      <c r="A9" s="571">
        <v>3</v>
      </c>
      <c r="B9" s="572" t="s">
        <v>579</v>
      </c>
      <c r="C9" s="535">
        <v>1035.2780707881295</v>
      </c>
      <c r="D9" s="510"/>
      <c r="E9" s="535">
        <v>991.09036398393926</v>
      </c>
      <c r="F9" s="573"/>
      <c r="G9" s="575"/>
      <c r="I9" s="101" t="s">
        <v>580</v>
      </c>
      <c r="J9" s="106"/>
      <c r="K9" s="106"/>
      <c r="L9" s="107"/>
      <c r="M9" s="107"/>
      <c r="N9" s="108"/>
    </row>
    <row r="10" spans="1:14" ht="16.5" x14ac:dyDescent="0.3">
      <c r="A10" s="571">
        <v>4</v>
      </c>
      <c r="B10" s="572" t="s">
        <v>581</v>
      </c>
      <c r="C10" s="925">
        <v>1336.5297499999999</v>
      </c>
      <c r="D10" s="926"/>
      <c r="E10" s="925">
        <v>1275.98063</v>
      </c>
      <c r="F10" s="573"/>
      <c r="G10" s="574" t="s">
        <v>571</v>
      </c>
      <c r="I10" s="101" t="s">
        <v>582</v>
      </c>
      <c r="J10" s="106"/>
      <c r="K10" s="106"/>
      <c r="L10" s="107"/>
      <c r="M10" s="107"/>
      <c r="N10" s="108"/>
    </row>
    <row r="11" spans="1:14" ht="16.5" thickBot="1" x14ac:dyDescent="0.3">
      <c r="A11" s="576">
        <v>5</v>
      </c>
      <c r="B11" s="577" t="s">
        <v>583</v>
      </c>
      <c r="C11" s="535">
        <v>438.16152412499997</v>
      </c>
      <c r="D11" s="510"/>
      <c r="E11" s="535">
        <v>415.04897145833337</v>
      </c>
      <c r="F11" s="573"/>
      <c r="G11" s="575"/>
      <c r="I11" s="102" t="s">
        <v>584</v>
      </c>
      <c r="J11" s="103"/>
      <c r="K11" s="103"/>
      <c r="L11" s="109"/>
      <c r="M11" s="109"/>
      <c r="N11" s="110"/>
    </row>
    <row r="12" spans="1:14" ht="16.5" x14ac:dyDescent="0.25">
      <c r="A12" s="568">
        <v>6</v>
      </c>
      <c r="B12" s="578" t="s">
        <v>588</v>
      </c>
      <c r="C12" s="588">
        <f>MAX(0,C7+C8+C9+-C10-C11)</f>
        <v>0</v>
      </c>
      <c r="D12" s="587"/>
      <c r="E12" s="588">
        <v>0</v>
      </c>
      <c r="F12" s="579"/>
      <c r="G12" s="252"/>
    </row>
    <row r="13" spans="1:14" ht="15.75" x14ac:dyDescent="0.25">
      <c r="A13" s="580">
        <v>7</v>
      </c>
      <c r="B13" s="581" t="s">
        <v>585</v>
      </c>
      <c r="C13" s="582">
        <v>0.1</v>
      </c>
      <c r="D13" s="583"/>
      <c r="E13" s="582">
        <v>0.1</v>
      </c>
      <c r="F13" s="584"/>
      <c r="G13" s="252"/>
    </row>
    <row r="14" spans="1:14" ht="17.25" thickBot="1" x14ac:dyDescent="0.3">
      <c r="A14" s="426">
        <v>8</v>
      </c>
      <c r="B14" s="585" t="s">
        <v>99</v>
      </c>
      <c r="C14" s="590">
        <f>+C12*C13</f>
        <v>0</v>
      </c>
      <c r="D14" s="589" t="s">
        <v>586</v>
      </c>
      <c r="E14" s="590">
        <v>0</v>
      </c>
      <c r="F14" s="586"/>
      <c r="G14" s="252"/>
    </row>
    <row r="17" spans="1:6" ht="15" customHeight="1" x14ac:dyDescent="0.25"/>
    <row r="18" spans="1:6" ht="16.5" x14ac:dyDescent="0.3">
      <c r="A18" s="934" t="s">
        <v>723</v>
      </c>
      <c r="B18" s="935"/>
      <c r="C18" s="521"/>
      <c r="F18" s="936" t="s">
        <v>724</v>
      </c>
    </row>
    <row r="19" spans="1:6" ht="16.5" x14ac:dyDescent="0.3">
      <c r="A19" s="934" t="s">
        <v>725</v>
      </c>
      <c r="B19" s="935"/>
      <c r="C19" s="521"/>
      <c r="F19" s="937" t="s">
        <v>726</v>
      </c>
    </row>
    <row r="20" spans="1:6" ht="16.5" x14ac:dyDescent="0.3">
      <c r="A20" s="7"/>
      <c r="B20" s="7"/>
      <c r="C20" s="521"/>
    </row>
    <row r="21" spans="1:6" ht="16.5" x14ac:dyDescent="0.3">
      <c r="A21" s="7"/>
      <c r="B21" s="7"/>
      <c r="C21" s="521"/>
      <c r="D21" s="59"/>
      <c r="E21" s="7"/>
    </row>
    <row r="22" spans="1:6" ht="16.5" x14ac:dyDescent="0.3">
      <c r="A22" s="7"/>
      <c r="B22" s="7"/>
      <c r="C22" s="521"/>
      <c r="D22" s="59"/>
      <c r="E22" s="7"/>
    </row>
    <row r="23" spans="1:6" ht="16.5" x14ac:dyDescent="0.3">
      <c r="A23" s="7"/>
      <c r="B23" s="7"/>
      <c r="C23" s="521"/>
      <c r="D23" s="59"/>
      <c r="E23" s="7"/>
    </row>
    <row r="24" spans="1:6" ht="16.5" x14ac:dyDescent="0.3">
      <c r="A24" s="946" t="s">
        <v>731</v>
      </c>
      <c r="B24" s="939"/>
      <c r="C24" s="521"/>
      <c r="D24" s="59"/>
      <c r="F24" s="941" t="s">
        <v>728</v>
      </c>
    </row>
    <row r="25" spans="1:6" ht="16.5" x14ac:dyDescent="0.3">
      <c r="A25" s="946" t="s">
        <v>732</v>
      </c>
      <c r="B25" s="942"/>
      <c r="C25" s="521"/>
      <c r="D25" s="59"/>
      <c r="F25" s="941" t="s">
        <v>730</v>
      </c>
    </row>
  </sheetData>
  <mergeCells count="5">
    <mergeCell ref="A1:F1"/>
    <mergeCell ref="A2:F2"/>
    <mergeCell ref="A3:F3"/>
    <mergeCell ref="A4:A5"/>
    <mergeCell ref="B4:B5"/>
  </mergeCells>
  <phoneticPr fontId="19" type="noConversion"/>
  <pageMargins left="0.7" right="0.7" top="0.75" bottom="0.75" header="0.3" footer="0.3"/>
  <pageSetup scale="97" orientation="portrait" r:id="rId1"/>
  <colBreaks count="1" manualBreakCount="1">
    <brk id="6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0000"/>
  </sheetPr>
  <dimension ref="B1:G33"/>
  <sheetViews>
    <sheetView topLeftCell="A13" workbookViewId="0">
      <selection activeCell="B2" sqref="B2:G22"/>
    </sheetView>
  </sheetViews>
  <sheetFormatPr defaultRowHeight="15" x14ac:dyDescent="0.25"/>
  <cols>
    <col min="3" max="3" width="37.85546875" customWidth="1"/>
  </cols>
  <sheetData>
    <row r="1" spans="2:7" ht="15.75" thickBot="1" x14ac:dyDescent="0.3"/>
    <row r="2" spans="2:7" ht="17.25" thickBot="1" x14ac:dyDescent="0.35">
      <c r="B2" s="1119" t="s">
        <v>599</v>
      </c>
      <c r="C2" s="1120"/>
      <c r="D2" s="1120"/>
      <c r="E2" s="1120"/>
      <c r="F2" s="1120"/>
      <c r="G2" s="1121"/>
    </row>
    <row r="3" spans="2:7" ht="17.25" thickBot="1" x14ac:dyDescent="0.35">
      <c r="B3" s="1122" t="s">
        <v>589</v>
      </c>
      <c r="C3" s="1123"/>
      <c r="D3" s="1123"/>
      <c r="E3" s="1123"/>
      <c r="F3" s="1123"/>
      <c r="G3" s="1124"/>
    </row>
    <row r="4" spans="2:7" ht="16.5" x14ac:dyDescent="0.3">
      <c r="B4" s="1125" t="s">
        <v>590</v>
      </c>
      <c r="C4" s="1126"/>
      <c r="D4" s="1126"/>
      <c r="E4" s="1126"/>
      <c r="F4" s="1126"/>
      <c r="G4" s="1127"/>
    </row>
    <row r="5" spans="2:7" x14ac:dyDescent="0.25">
      <c r="B5" s="1128" t="s">
        <v>445</v>
      </c>
      <c r="C5" s="1129" t="s">
        <v>1</v>
      </c>
      <c r="D5" s="1129" t="s">
        <v>100</v>
      </c>
      <c r="E5" s="591" t="s">
        <v>402</v>
      </c>
      <c r="F5" s="591" t="s">
        <v>402</v>
      </c>
      <c r="G5" s="592" t="s">
        <v>392</v>
      </c>
    </row>
    <row r="6" spans="2:7" ht="30" x14ac:dyDescent="0.25">
      <c r="B6" s="1128"/>
      <c r="C6" s="1129"/>
      <c r="D6" s="1129"/>
      <c r="E6" s="593" t="s">
        <v>3</v>
      </c>
      <c r="F6" s="593" t="s">
        <v>694</v>
      </c>
      <c r="G6" s="594" t="s">
        <v>3</v>
      </c>
    </row>
    <row r="7" spans="2:7" x14ac:dyDescent="0.25">
      <c r="B7" s="595">
        <v>1</v>
      </c>
      <c r="C7" s="596">
        <v>2</v>
      </c>
      <c r="D7" s="596">
        <v>3</v>
      </c>
      <c r="E7" s="597">
        <v>4</v>
      </c>
      <c r="F7" s="597">
        <v>5</v>
      </c>
      <c r="G7" s="598">
        <v>6</v>
      </c>
    </row>
    <row r="8" spans="2:7" ht="24.75" customHeight="1" x14ac:dyDescent="0.25">
      <c r="B8" s="599">
        <v>1</v>
      </c>
      <c r="C8" s="600" t="s">
        <v>102</v>
      </c>
      <c r="D8" s="601"/>
      <c r="E8" s="602">
        <v>4101.6143633886959</v>
      </c>
      <c r="F8" s="927">
        <v>1081.95</v>
      </c>
      <c r="G8" s="603">
        <v>4025.3362317880001</v>
      </c>
    </row>
    <row r="9" spans="2:7" x14ac:dyDescent="0.25">
      <c r="B9" s="604">
        <v>2</v>
      </c>
      <c r="C9" s="605" t="s">
        <v>103</v>
      </c>
      <c r="D9" s="606"/>
      <c r="E9" s="607">
        <v>0.03</v>
      </c>
      <c r="F9" s="607">
        <v>0.03</v>
      </c>
      <c r="G9" s="608">
        <v>0.03</v>
      </c>
    </row>
    <row r="10" spans="2:7" ht="15.75" thickBot="1" x14ac:dyDescent="0.3">
      <c r="B10" s="609">
        <v>3</v>
      </c>
      <c r="C10" s="610" t="s">
        <v>104</v>
      </c>
      <c r="D10" s="611"/>
      <c r="E10" s="612">
        <f>E8*E9</f>
        <v>123.04843090166088</v>
      </c>
      <c r="F10" s="612">
        <v>32.46</v>
      </c>
      <c r="G10" s="613">
        <v>120.76008695364</v>
      </c>
    </row>
    <row r="15" spans="2:7" ht="16.5" x14ac:dyDescent="0.3">
      <c r="B15" s="934" t="s">
        <v>723</v>
      </c>
      <c r="C15" s="935"/>
      <c r="D15" s="521"/>
      <c r="G15" s="936" t="s">
        <v>724</v>
      </c>
    </row>
    <row r="16" spans="2:7" ht="16.5" x14ac:dyDescent="0.3">
      <c r="B16" s="934" t="s">
        <v>725</v>
      </c>
      <c r="C16" s="935"/>
      <c r="D16" s="521"/>
      <c r="G16" s="937" t="s">
        <v>726</v>
      </c>
    </row>
    <row r="17" spans="2:7" ht="16.5" x14ac:dyDescent="0.3">
      <c r="B17" s="7"/>
      <c r="C17" s="7"/>
      <c r="D17" s="521"/>
    </row>
    <row r="18" spans="2:7" ht="16.5" x14ac:dyDescent="0.3">
      <c r="B18" s="7"/>
      <c r="C18" s="7"/>
      <c r="D18" s="521"/>
      <c r="E18" s="59"/>
      <c r="F18" s="7"/>
    </row>
    <row r="19" spans="2:7" ht="16.5" x14ac:dyDescent="0.3">
      <c r="B19" s="7"/>
      <c r="C19" s="7"/>
      <c r="D19" s="521"/>
      <c r="E19" s="59"/>
      <c r="F19" s="7"/>
    </row>
    <row r="20" spans="2:7" ht="16.5" x14ac:dyDescent="0.3">
      <c r="B20" s="7"/>
      <c r="C20" s="7"/>
      <c r="D20" s="521"/>
      <c r="E20" s="59"/>
      <c r="F20" s="7"/>
    </row>
    <row r="21" spans="2:7" ht="16.5" x14ac:dyDescent="0.3">
      <c r="B21" s="946" t="s">
        <v>731</v>
      </c>
      <c r="C21" s="939"/>
      <c r="D21" s="521"/>
      <c r="E21" s="59"/>
      <c r="G21" s="941" t="s">
        <v>728</v>
      </c>
    </row>
    <row r="22" spans="2:7" ht="16.5" x14ac:dyDescent="0.3">
      <c r="B22" s="946" t="s">
        <v>732</v>
      </c>
      <c r="C22" s="942"/>
      <c r="D22" s="521"/>
      <c r="E22" s="59"/>
      <c r="G22" s="941" t="s">
        <v>730</v>
      </c>
    </row>
    <row r="24" spans="2:7" ht="15.75" thickBot="1" x14ac:dyDescent="0.3"/>
    <row r="25" spans="2:7" ht="16.5" thickBot="1" x14ac:dyDescent="0.3">
      <c r="C25" s="1116" t="s">
        <v>598</v>
      </c>
      <c r="D25" s="1117"/>
      <c r="E25" s="1117"/>
      <c r="F25" s="1118"/>
    </row>
    <row r="26" spans="2:7" x14ac:dyDescent="0.25">
      <c r="C26" s="1113" t="s">
        <v>591</v>
      </c>
      <c r="D26" s="1114"/>
      <c r="E26" s="1114"/>
      <c r="F26" s="1115"/>
    </row>
    <row r="27" spans="2:7" x14ac:dyDescent="0.25">
      <c r="C27" s="118" t="s">
        <v>1</v>
      </c>
      <c r="D27" s="119" t="s">
        <v>289</v>
      </c>
      <c r="E27" s="119" t="s">
        <v>392</v>
      </c>
      <c r="F27" s="120" t="s">
        <v>402</v>
      </c>
    </row>
    <row r="28" spans="2:7" x14ac:dyDescent="0.25">
      <c r="C28" s="112" t="s">
        <v>592</v>
      </c>
      <c r="D28" s="38">
        <v>2378.5</v>
      </c>
      <c r="E28" s="38">
        <v>2378.5</v>
      </c>
      <c r="F28" s="113">
        <v>2378.5</v>
      </c>
    </row>
    <row r="29" spans="2:7" x14ac:dyDescent="0.25">
      <c r="C29" s="112" t="s">
        <v>593</v>
      </c>
      <c r="D29" s="38">
        <v>1052.71</v>
      </c>
      <c r="E29" s="38">
        <v>1174.6300000000001</v>
      </c>
      <c r="F29" s="113">
        <v>1296.55</v>
      </c>
    </row>
    <row r="30" spans="2:7" x14ac:dyDescent="0.25">
      <c r="C30" s="112" t="s">
        <v>594</v>
      </c>
      <c r="D30" s="38">
        <v>121.92</v>
      </c>
      <c r="E30" s="38">
        <v>121.92</v>
      </c>
      <c r="F30" s="113">
        <v>121.92</v>
      </c>
    </row>
    <row r="31" spans="2:7" x14ac:dyDescent="0.25">
      <c r="C31" s="112" t="s">
        <v>595</v>
      </c>
      <c r="D31" s="38">
        <v>1325.79</v>
      </c>
      <c r="E31" s="38">
        <v>1203.8699999999999</v>
      </c>
      <c r="F31" s="113">
        <v>1081.95</v>
      </c>
    </row>
    <row r="32" spans="2:7" x14ac:dyDescent="0.25">
      <c r="C32" s="112" t="s">
        <v>596</v>
      </c>
      <c r="D32" s="111">
        <v>0.03</v>
      </c>
      <c r="E32" s="111">
        <v>0.03</v>
      </c>
      <c r="F32" s="114">
        <v>0.03</v>
      </c>
    </row>
    <row r="33" spans="3:6" ht="15.75" thickBot="1" x14ac:dyDescent="0.3">
      <c r="C33" s="115" t="s">
        <v>597</v>
      </c>
      <c r="D33" s="116">
        <v>39.770000000000003</v>
      </c>
      <c r="E33" s="116">
        <v>36.119999999999997</v>
      </c>
      <c r="F33" s="117">
        <v>32.46</v>
      </c>
    </row>
  </sheetData>
  <mergeCells count="8">
    <mergeCell ref="C26:F26"/>
    <mergeCell ref="C25:F25"/>
    <mergeCell ref="B2:G2"/>
    <mergeCell ref="B3:G3"/>
    <mergeCell ref="B4:G4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0000"/>
    <pageSetUpPr fitToPage="1"/>
  </sheetPr>
  <dimension ref="A1:L35"/>
  <sheetViews>
    <sheetView zoomScale="85" zoomScaleNormal="85" workbookViewId="0">
      <selection sqref="A1:L21"/>
    </sheetView>
  </sheetViews>
  <sheetFormatPr defaultRowHeight="15.75" x14ac:dyDescent="0.25"/>
  <cols>
    <col min="1" max="1" width="9.140625" style="252"/>
    <col min="2" max="2" width="40" style="252" bestFit="1" customWidth="1"/>
    <col min="3" max="3" width="16.140625" style="252" bestFit="1" customWidth="1"/>
    <col min="4" max="4" width="14.7109375" style="252" bestFit="1" customWidth="1"/>
    <col min="5" max="5" width="14.28515625" style="252" customWidth="1"/>
    <col min="6" max="6" width="13.5703125" style="252" customWidth="1"/>
    <col min="7" max="7" width="16.140625" style="252" customWidth="1"/>
    <col min="8" max="8" width="6.85546875" style="252" bestFit="1" customWidth="1"/>
    <col min="9" max="9" width="9.42578125" style="252" bestFit="1" customWidth="1"/>
    <col min="10" max="10" width="8.7109375" style="252" bestFit="1" customWidth="1"/>
    <col min="11" max="11" width="14.140625" style="252" customWidth="1"/>
    <col min="12" max="12" width="10.28515625" style="252" bestFit="1" customWidth="1"/>
    <col min="13" max="16384" width="9.140625" style="252"/>
  </cols>
  <sheetData>
    <row r="1" spans="1:12" ht="17.25" thickBot="1" x14ac:dyDescent="0.35">
      <c r="A1" s="1143" t="s">
        <v>605</v>
      </c>
      <c r="B1" s="1144"/>
      <c r="C1" s="1144"/>
      <c r="D1" s="1144"/>
      <c r="E1" s="1144"/>
      <c r="F1" s="1144"/>
      <c r="G1" s="1144"/>
      <c r="H1" s="1144"/>
      <c r="I1" s="1144"/>
      <c r="J1" s="1144"/>
      <c r="K1" s="1144"/>
      <c r="L1" s="1145"/>
    </row>
    <row r="2" spans="1:12" ht="16.5" thickBot="1" x14ac:dyDescent="0.3">
      <c r="A2" s="1027" t="s">
        <v>360</v>
      </c>
      <c r="B2" s="1028"/>
      <c r="C2" s="1028"/>
      <c r="D2" s="1028"/>
      <c r="E2" s="1028"/>
      <c r="F2" s="1028"/>
      <c r="G2" s="1028"/>
      <c r="H2" s="1028"/>
      <c r="I2" s="1028"/>
      <c r="J2" s="1028"/>
      <c r="K2" s="1028"/>
      <c r="L2" s="1029"/>
    </row>
    <row r="3" spans="1:12" ht="16.5" thickBot="1" x14ac:dyDescent="0.3">
      <c r="A3" s="1027" t="s">
        <v>601</v>
      </c>
      <c r="B3" s="1028"/>
      <c r="C3" s="1028"/>
      <c r="D3" s="1028"/>
      <c r="E3" s="1028"/>
      <c r="F3" s="1028"/>
      <c r="G3" s="1028"/>
      <c r="H3" s="1028"/>
      <c r="I3" s="1028"/>
      <c r="J3" s="1028"/>
      <c r="K3" s="1028"/>
      <c r="L3" s="1029"/>
    </row>
    <row r="4" spans="1:12" ht="18" customHeight="1" x14ac:dyDescent="0.25">
      <c r="A4" s="1146" t="s">
        <v>445</v>
      </c>
      <c r="B4" s="1065" t="s">
        <v>105</v>
      </c>
      <c r="C4" s="1148" t="s">
        <v>106</v>
      </c>
      <c r="D4" s="1149"/>
      <c r="E4" s="1149"/>
      <c r="F4" s="1149"/>
      <c r="G4" s="1150"/>
      <c r="H4" s="1148" t="s">
        <v>107</v>
      </c>
      <c r="I4" s="1149"/>
      <c r="J4" s="1149"/>
      <c r="K4" s="1150"/>
      <c r="L4" s="1151" t="s">
        <v>108</v>
      </c>
    </row>
    <row r="5" spans="1:12" ht="66" x14ac:dyDescent="0.25">
      <c r="A5" s="1147"/>
      <c r="B5" s="1067"/>
      <c r="C5" s="492" t="s">
        <v>606</v>
      </c>
      <c r="D5" s="492" t="s">
        <v>109</v>
      </c>
      <c r="E5" s="492" t="s">
        <v>110</v>
      </c>
      <c r="F5" s="492" t="s">
        <v>111</v>
      </c>
      <c r="G5" s="492" t="s">
        <v>313</v>
      </c>
      <c r="H5" s="492" t="s">
        <v>112</v>
      </c>
      <c r="I5" s="492" t="s">
        <v>101</v>
      </c>
      <c r="J5" s="492" t="s">
        <v>113</v>
      </c>
      <c r="K5" s="492" t="s">
        <v>114</v>
      </c>
      <c r="L5" s="1152"/>
    </row>
    <row r="6" spans="1:12" ht="16.5" x14ac:dyDescent="0.25">
      <c r="A6" s="614">
        <v>1</v>
      </c>
      <c r="B6" s="615">
        <v>2</v>
      </c>
      <c r="C6" s="615">
        <v>3</v>
      </c>
      <c r="D6" s="615">
        <v>4</v>
      </c>
      <c r="E6" s="615">
        <v>5</v>
      </c>
      <c r="F6" s="615">
        <v>6</v>
      </c>
      <c r="G6" s="615">
        <v>7</v>
      </c>
      <c r="H6" s="615">
        <v>8</v>
      </c>
      <c r="I6" s="615">
        <v>9</v>
      </c>
      <c r="J6" s="616">
        <v>10</v>
      </c>
      <c r="K6" s="615">
        <v>11</v>
      </c>
      <c r="L6" s="617">
        <v>12</v>
      </c>
    </row>
    <row r="7" spans="1:12" ht="16.5" x14ac:dyDescent="0.25">
      <c r="A7" s="618">
        <v>1</v>
      </c>
      <c r="B7" s="619" t="s">
        <v>602</v>
      </c>
      <c r="C7" s="638">
        <v>20.140000000000015</v>
      </c>
      <c r="D7" s="638">
        <v>1348.8999999999999</v>
      </c>
      <c r="E7" s="638">
        <v>0</v>
      </c>
      <c r="F7" s="638">
        <v>32.770000000000003</v>
      </c>
      <c r="G7" s="638">
        <f>+C7+D7+E7-F7</f>
        <v>1336.27</v>
      </c>
      <c r="H7" s="638">
        <v>0</v>
      </c>
      <c r="I7" s="638">
        <v>0</v>
      </c>
      <c r="J7" s="638">
        <v>0.74</v>
      </c>
      <c r="K7" s="638">
        <f>+G7+H7-I7-J7</f>
        <v>1335.53</v>
      </c>
      <c r="L7" s="639"/>
    </row>
    <row r="8" spans="1:12" ht="16.5" x14ac:dyDescent="0.25">
      <c r="A8" s="618">
        <v>2</v>
      </c>
      <c r="B8" s="619" t="s">
        <v>331</v>
      </c>
      <c r="C8" s="638">
        <v>65.259999999999991</v>
      </c>
      <c r="D8" s="638">
        <v>1.32</v>
      </c>
      <c r="E8" s="638">
        <v>0</v>
      </c>
      <c r="F8" s="638">
        <v>0.02</v>
      </c>
      <c r="G8" s="638">
        <f>+C8+D8+E8-F8</f>
        <v>66.559999999999988</v>
      </c>
      <c r="H8" s="638">
        <v>0</v>
      </c>
      <c r="I8" s="638">
        <v>0</v>
      </c>
      <c r="J8" s="638">
        <v>0</v>
      </c>
      <c r="K8" s="638">
        <f>+G8+H8-I8-J8</f>
        <v>66.559999999999988</v>
      </c>
      <c r="L8" s="639"/>
    </row>
    <row r="9" spans="1:12" ht="16.5" x14ac:dyDescent="0.25">
      <c r="A9" s="618">
        <v>3</v>
      </c>
      <c r="B9" s="619" t="s">
        <v>603</v>
      </c>
      <c r="C9" s="638">
        <v>27.740000000000002</v>
      </c>
      <c r="D9" s="638">
        <v>80.45</v>
      </c>
      <c r="E9" s="638">
        <v>0</v>
      </c>
      <c r="F9" s="638">
        <v>0</v>
      </c>
      <c r="G9" s="638">
        <f>+C9+D9+E9-F9</f>
        <v>108.19</v>
      </c>
      <c r="H9" s="638">
        <v>0</v>
      </c>
      <c r="I9" s="638">
        <v>0</v>
      </c>
      <c r="J9" s="638">
        <v>0</v>
      </c>
      <c r="K9" s="638">
        <f>+G9+H9-I9-J9</f>
        <v>108.19</v>
      </c>
      <c r="L9" s="639"/>
    </row>
    <row r="10" spans="1:12" ht="17.25" thickBot="1" x14ac:dyDescent="0.35">
      <c r="A10" s="620">
        <v>4</v>
      </c>
      <c r="B10" s="509" t="s">
        <v>604</v>
      </c>
      <c r="C10" s="335">
        <f t="shared" ref="C10:L10" si="0">SUM(C7:C9)</f>
        <v>113.14000000000001</v>
      </c>
      <c r="D10" s="335">
        <f t="shared" si="0"/>
        <v>1430.6699999999998</v>
      </c>
      <c r="E10" s="335">
        <f t="shared" si="0"/>
        <v>0</v>
      </c>
      <c r="F10" s="335">
        <f t="shared" si="0"/>
        <v>32.790000000000006</v>
      </c>
      <c r="G10" s="335">
        <f t="shared" si="0"/>
        <v>1511.02</v>
      </c>
      <c r="H10" s="335">
        <f t="shared" si="0"/>
        <v>0</v>
      </c>
      <c r="I10" s="335">
        <f t="shared" si="0"/>
        <v>0</v>
      </c>
      <c r="J10" s="335">
        <f t="shared" si="0"/>
        <v>0.74</v>
      </c>
      <c r="K10" s="335">
        <f t="shared" si="0"/>
        <v>1510.28</v>
      </c>
      <c r="L10" s="640">
        <f t="shared" si="0"/>
        <v>0</v>
      </c>
    </row>
    <row r="14" spans="1:12" ht="16.5" x14ac:dyDescent="0.3">
      <c r="A14" s="934" t="s">
        <v>723</v>
      </c>
      <c r="B14" s="935"/>
      <c r="C14" s="521"/>
      <c r="D14"/>
      <c r="E14"/>
      <c r="J14" s="936" t="s">
        <v>724</v>
      </c>
    </row>
    <row r="15" spans="1:12" ht="16.5" x14ac:dyDescent="0.3">
      <c r="A15" s="934" t="s">
        <v>725</v>
      </c>
      <c r="B15" s="935"/>
      <c r="C15" s="521"/>
      <c r="D15"/>
      <c r="E15"/>
      <c r="J15" s="937" t="s">
        <v>726</v>
      </c>
    </row>
    <row r="16" spans="1:12" ht="16.5" x14ac:dyDescent="0.3">
      <c r="A16" s="7"/>
      <c r="B16" s="7"/>
      <c r="C16" s="521"/>
      <c r="D16"/>
      <c r="E16"/>
      <c r="J16"/>
    </row>
    <row r="17" spans="1:12" ht="16.5" x14ac:dyDescent="0.3">
      <c r="A17" s="7"/>
      <c r="B17" s="7"/>
      <c r="C17" s="521"/>
      <c r="D17" s="59"/>
      <c r="E17" s="7"/>
      <c r="J17"/>
    </row>
    <row r="18" spans="1:12" ht="16.5" x14ac:dyDescent="0.3">
      <c r="A18" s="7"/>
      <c r="B18" s="7"/>
      <c r="C18" s="521"/>
      <c r="D18" s="59"/>
      <c r="E18" s="7"/>
      <c r="J18"/>
    </row>
    <row r="19" spans="1:12" ht="16.5" x14ac:dyDescent="0.3">
      <c r="A19" s="7"/>
      <c r="B19" s="7"/>
      <c r="C19" s="521"/>
      <c r="D19" s="59"/>
      <c r="E19" s="7"/>
      <c r="J19"/>
    </row>
    <row r="20" spans="1:12" ht="16.5" x14ac:dyDescent="0.3">
      <c r="A20" s="946" t="s">
        <v>731</v>
      </c>
      <c r="B20" s="939"/>
      <c r="C20" s="521"/>
      <c r="D20" s="59"/>
      <c r="E20"/>
      <c r="J20" s="941" t="s">
        <v>728</v>
      </c>
    </row>
    <row r="21" spans="1:12" ht="16.5" x14ac:dyDescent="0.3">
      <c r="A21" s="946" t="s">
        <v>732</v>
      </c>
      <c r="B21" s="942"/>
      <c r="C21" s="521"/>
      <c r="D21" s="59"/>
      <c r="E21"/>
      <c r="J21" s="941" t="s">
        <v>730</v>
      </c>
    </row>
    <row r="24" spans="1:12" ht="16.5" x14ac:dyDescent="0.3">
      <c r="B24" s="621" t="s">
        <v>633</v>
      </c>
    </row>
    <row r="25" spans="1:12" ht="16.5" thickBot="1" x14ac:dyDescent="0.3"/>
    <row r="26" spans="1:12" ht="17.25" thickBot="1" x14ac:dyDescent="0.35">
      <c r="A26" s="1130" t="s">
        <v>600</v>
      </c>
      <c r="B26" s="1131"/>
      <c r="C26" s="1131"/>
      <c r="D26" s="1131"/>
      <c r="E26" s="1131"/>
      <c r="F26" s="1131"/>
      <c r="G26" s="1131"/>
      <c r="H26" s="1131"/>
      <c r="I26" s="1131"/>
      <c r="J26" s="1131"/>
      <c r="K26" s="1131"/>
      <c r="L26" s="1132"/>
    </row>
    <row r="27" spans="1:12" ht="16.5" thickBot="1" x14ac:dyDescent="0.3">
      <c r="A27" s="1133" t="s">
        <v>360</v>
      </c>
      <c r="B27" s="1134"/>
      <c r="C27" s="1134"/>
      <c r="D27" s="1134"/>
      <c r="E27" s="1134"/>
      <c r="F27" s="1134"/>
      <c r="G27" s="1134"/>
      <c r="H27" s="1134"/>
      <c r="I27" s="1134"/>
      <c r="J27" s="1134"/>
      <c r="K27" s="1134"/>
      <c r="L27" s="1135"/>
    </row>
    <row r="28" spans="1:12" ht="16.5" thickBot="1" x14ac:dyDescent="0.3">
      <c r="A28" s="1133" t="s">
        <v>601</v>
      </c>
      <c r="B28" s="1134"/>
      <c r="C28" s="1134"/>
      <c r="D28" s="1134"/>
      <c r="E28" s="1134"/>
      <c r="F28" s="1134"/>
      <c r="G28" s="1134"/>
      <c r="H28" s="1134"/>
      <c r="I28" s="1134"/>
      <c r="J28" s="1134"/>
      <c r="K28" s="1134"/>
      <c r="L28" s="1135"/>
    </row>
    <row r="29" spans="1:12" ht="18" customHeight="1" x14ac:dyDescent="0.25">
      <c r="A29" s="1136" t="s">
        <v>445</v>
      </c>
      <c r="B29" s="1138" t="s">
        <v>105</v>
      </c>
      <c r="C29" s="1138" t="s">
        <v>106</v>
      </c>
      <c r="D29" s="1138"/>
      <c r="E29" s="1138"/>
      <c r="F29" s="1138"/>
      <c r="G29" s="1138"/>
      <c r="H29" s="1140" t="s">
        <v>107</v>
      </c>
      <c r="I29" s="1140"/>
      <c r="J29" s="1140"/>
      <c r="K29" s="1140"/>
      <c r="L29" s="1141" t="s">
        <v>108</v>
      </c>
    </row>
    <row r="30" spans="1:12" ht="66" x14ac:dyDescent="0.25">
      <c r="A30" s="1137"/>
      <c r="B30" s="1139"/>
      <c r="C30" s="622" t="s">
        <v>607</v>
      </c>
      <c r="D30" s="622" t="s">
        <v>109</v>
      </c>
      <c r="E30" s="622" t="s">
        <v>110</v>
      </c>
      <c r="F30" s="622" t="s">
        <v>111</v>
      </c>
      <c r="G30" s="622" t="s">
        <v>313</v>
      </c>
      <c r="H30" s="623" t="s">
        <v>112</v>
      </c>
      <c r="I30" s="622" t="s">
        <v>101</v>
      </c>
      <c r="J30" s="622" t="s">
        <v>113</v>
      </c>
      <c r="K30" s="622" t="s">
        <v>114</v>
      </c>
      <c r="L30" s="1142"/>
    </row>
    <row r="31" spans="1:12" ht="16.5" x14ac:dyDescent="0.25">
      <c r="A31" s="624">
        <v>1</v>
      </c>
      <c r="B31" s="625">
        <v>2</v>
      </c>
      <c r="C31" s="625">
        <v>3</v>
      </c>
      <c r="D31" s="625">
        <v>4</v>
      </c>
      <c r="E31" s="625">
        <v>5</v>
      </c>
      <c r="F31" s="625">
        <v>6</v>
      </c>
      <c r="G31" s="625">
        <v>7</v>
      </c>
      <c r="H31" s="625">
        <v>8</v>
      </c>
      <c r="I31" s="625">
        <v>9</v>
      </c>
      <c r="J31" s="626">
        <v>10</v>
      </c>
      <c r="K31" s="625">
        <v>11</v>
      </c>
      <c r="L31" s="627">
        <v>12</v>
      </c>
    </row>
    <row r="32" spans="1:12" ht="16.5" x14ac:dyDescent="0.25">
      <c r="A32" s="628">
        <v>1</v>
      </c>
      <c r="B32" s="629" t="s">
        <v>602</v>
      </c>
      <c r="C32" s="630">
        <v>54.61</v>
      </c>
      <c r="D32" s="630">
        <f>190.32+2.99+0.74</f>
        <v>194.05</v>
      </c>
      <c r="E32" s="631">
        <v>0</v>
      </c>
      <c r="F32" s="630">
        <v>228.52</v>
      </c>
      <c r="G32" s="630">
        <f>+C32+D32+E32-F32</f>
        <v>20.140000000000015</v>
      </c>
      <c r="H32" s="630"/>
      <c r="I32" s="630"/>
      <c r="J32" s="632"/>
      <c r="K32" s="630">
        <f>+G32+H32-I32-J32</f>
        <v>20.140000000000015</v>
      </c>
      <c r="L32" s="633"/>
    </row>
    <row r="33" spans="1:12" ht="16.5" x14ac:dyDescent="0.25">
      <c r="A33" s="628">
        <v>2</v>
      </c>
      <c r="B33" s="629" t="s">
        <v>71</v>
      </c>
      <c r="C33" s="630">
        <v>0</v>
      </c>
      <c r="D33" s="630">
        <f>64.92+0.32+0.02</f>
        <v>65.259999999999991</v>
      </c>
      <c r="E33" s="631">
        <v>0</v>
      </c>
      <c r="F33" s="630"/>
      <c r="G33" s="630">
        <f>+C33+D33+E33-F33</f>
        <v>65.259999999999991</v>
      </c>
      <c r="H33" s="630"/>
      <c r="I33" s="630"/>
      <c r="J33" s="632"/>
      <c r="K33" s="630">
        <f>+G33+H33-I33-J33</f>
        <v>65.259999999999991</v>
      </c>
      <c r="L33" s="633"/>
    </row>
    <row r="34" spans="1:12" ht="16.5" x14ac:dyDescent="0.25">
      <c r="A34" s="628">
        <v>3</v>
      </c>
      <c r="B34" s="629" t="s">
        <v>603</v>
      </c>
      <c r="C34" s="630">
        <v>0</v>
      </c>
      <c r="D34" s="630">
        <f>10.64+17.1</f>
        <v>27.740000000000002</v>
      </c>
      <c r="E34" s="631">
        <v>0</v>
      </c>
      <c r="F34" s="630"/>
      <c r="G34" s="630">
        <f>+C34+D34+E34-F34</f>
        <v>27.740000000000002</v>
      </c>
      <c r="H34" s="630"/>
      <c r="I34" s="630"/>
      <c r="J34" s="632"/>
      <c r="K34" s="630">
        <f>+G34+H34-I34-J34</f>
        <v>27.740000000000002</v>
      </c>
      <c r="L34" s="633"/>
    </row>
    <row r="35" spans="1:12" ht="17.25" thickBot="1" x14ac:dyDescent="0.35">
      <c r="A35" s="634">
        <v>4</v>
      </c>
      <c r="B35" s="635" t="s">
        <v>604</v>
      </c>
      <c r="C35" s="636">
        <f t="shared" ref="C35:L35" si="1">SUM(C32:C34)</f>
        <v>54.61</v>
      </c>
      <c r="D35" s="636">
        <f t="shared" si="1"/>
        <v>287.05</v>
      </c>
      <c r="E35" s="636">
        <f t="shared" si="1"/>
        <v>0</v>
      </c>
      <c r="F35" s="636">
        <f t="shared" si="1"/>
        <v>228.52</v>
      </c>
      <c r="G35" s="636">
        <f t="shared" si="1"/>
        <v>113.14000000000001</v>
      </c>
      <c r="H35" s="636">
        <f t="shared" si="1"/>
        <v>0</v>
      </c>
      <c r="I35" s="636">
        <f t="shared" si="1"/>
        <v>0</v>
      </c>
      <c r="J35" s="636">
        <f t="shared" si="1"/>
        <v>0</v>
      </c>
      <c r="K35" s="636">
        <f t="shared" si="1"/>
        <v>113.14000000000001</v>
      </c>
      <c r="L35" s="637">
        <f t="shared" si="1"/>
        <v>0</v>
      </c>
    </row>
  </sheetData>
  <mergeCells count="16">
    <mergeCell ref="A1:L1"/>
    <mergeCell ref="A2:L2"/>
    <mergeCell ref="A3:L3"/>
    <mergeCell ref="A4:A5"/>
    <mergeCell ref="B4:B5"/>
    <mergeCell ref="C4:G4"/>
    <mergeCell ref="H4:K4"/>
    <mergeCell ref="L4:L5"/>
    <mergeCell ref="A26:L26"/>
    <mergeCell ref="A27:L27"/>
    <mergeCell ref="A28:L28"/>
    <mergeCell ref="A29:A30"/>
    <mergeCell ref="B29:B30"/>
    <mergeCell ref="C29:G29"/>
    <mergeCell ref="H29:K29"/>
    <mergeCell ref="L29:L30"/>
  </mergeCells>
  <printOptions horizontalCentered="1" verticalCentered="1"/>
  <pageMargins left="0.25" right="0.25" top="0.75" bottom="0.75" header="0.3" footer="0.3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0000"/>
  </sheetPr>
  <dimension ref="B1:F41"/>
  <sheetViews>
    <sheetView view="pageBreakPreview" topLeftCell="A2" zoomScale="60" zoomScaleNormal="100" workbookViewId="0">
      <selection activeCell="B2" sqref="B2:F23"/>
    </sheetView>
  </sheetViews>
  <sheetFormatPr defaultRowHeight="16.5" x14ac:dyDescent="0.3"/>
  <cols>
    <col min="1" max="1" width="9.140625" style="521"/>
    <col min="2" max="2" width="11.140625" style="521" customWidth="1"/>
    <col min="3" max="3" width="41.5703125" style="521" customWidth="1"/>
    <col min="4" max="5" width="9.140625" style="521"/>
    <col min="6" max="6" width="14.140625" style="521" customWidth="1"/>
    <col min="7" max="16384" width="9.140625" style="521"/>
  </cols>
  <sheetData>
    <row r="1" spans="2:6" ht="17.25" thickBot="1" x14ac:dyDescent="0.35"/>
    <row r="2" spans="2:6" ht="17.25" thickBot="1" x14ac:dyDescent="0.35">
      <c r="B2" s="1156" t="s">
        <v>620</v>
      </c>
      <c r="C2" s="1157"/>
      <c r="D2" s="1157"/>
      <c r="E2" s="1157"/>
      <c r="F2" s="1158"/>
    </row>
    <row r="3" spans="2:6" ht="17.25" thickBot="1" x14ac:dyDescent="0.35">
      <c r="B3" s="1159" t="s">
        <v>621</v>
      </c>
      <c r="C3" s="1160"/>
      <c r="D3" s="1160"/>
      <c r="E3" s="1160"/>
      <c r="F3" s="1161"/>
    </row>
    <row r="4" spans="2:6" ht="17.25" thickBot="1" x14ac:dyDescent="0.35">
      <c r="B4" s="1162" t="s">
        <v>609</v>
      </c>
      <c r="C4" s="1163"/>
      <c r="D4" s="1163"/>
      <c r="E4" s="1163"/>
      <c r="F4" s="1164"/>
    </row>
    <row r="5" spans="2:6" ht="45" x14ac:dyDescent="0.3">
      <c r="B5" s="641" t="s">
        <v>0</v>
      </c>
      <c r="C5" s="642" t="s">
        <v>115</v>
      </c>
      <c r="D5" s="642" t="s">
        <v>116</v>
      </c>
      <c r="E5" s="642" t="s">
        <v>610</v>
      </c>
      <c r="F5" s="643" t="s">
        <v>117</v>
      </c>
    </row>
    <row r="6" spans="2:6" ht="17.25" thickBot="1" x14ac:dyDescent="0.35">
      <c r="B6" s="644">
        <v>1</v>
      </c>
      <c r="C6" s="645">
        <v>2</v>
      </c>
      <c r="D6" s="646">
        <v>3</v>
      </c>
      <c r="E6" s="646">
        <v>4</v>
      </c>
      <c r="F6" s="647">
        <v>5</v>
      </c>
    </row>
    <row r="7" spans="2:6" x14ac:dyDescent="0.3">
      <c r="B7" s="648">
        <v>1</v>
      </c>
      <c r="C7" s="649" t="s">
        <v>411</v>
      </c>
      <c r="D7" s="650"/>
      <c r="E7" s="692">
        <v>32.770000000000003</v>
      </c>
      <c r="F7" s="651" t="s">
        <v>402</v>
      </c>
    </row>
    <row r="8" spans="2:6" x14ac:dyDescent="0.3">
      <c r="B8" s="652">
        <v>2</v>
      </c>
      <c r="C8" s="653" t="s">
        <v>412</v>
      </c>
      <c r="D8" s="654"/>
      <c r="E8" s="693">
        <v>0.02</v>
      </c>
      <c r="F8" s="655" t="s">
        <v>402</v>
      </c>
    </row>
    <row r="9" spans="2:6" x14ac:dyDescent="0.3">
      <c r="B9" s="656">
        <v>3</v>
      </c>
      <c r="C9" s="657" t="s">
        <v>413</v>
      </c>
      <c r="D9" s="658"/>
      <c r="E9" s="694">
        <v>1.79</v>
      </c>
      <c r="F9" s="659" t="s">
        <v>402</v>
      </c>
    </row>
    <row r="10" spans="2:6" ht="17.25" thickBot="1" x14ac:dyDescent="0.35">
      <c r="B10" s="928">
        <v>4</v>
      </c>
      <c r="C10" s="929" t="s">
        <v>722</v>
      </c>
      <c r="D10" s="930"/>
      <c r="E10" s="931">
        <v>14.33</v>
      </c>
      <c r="F10" s="659" t="s">
        <v>402</v>
      </c>
    </row>
    <row r="11" spans="2:6" ht="17.25" thickBot="1" x14ac:dyDescent="0.35">
      <c r="B11" s="660"/>
      <c r="C11" s="695" t="s">
        <v>22</v>
      </c>
      <c r="D11" s="695"/>
      <c r="E11" s="696">
        <f>SUM(E7:E10)</f>
        <v>48.910000000000004</v>
      </c>
      <c r="F11" s="661"/>
    </row>
    <row r="16" spans="2:6" x14ac:dyDescent="0.3">
      <c r="B16" s="934" t="s">
        <v>723</v>
      </c>
      <c r="C16" s="935"/>
      <c r="E16"/>
      <c r="F16" s="936" t="s">
        <v>724</v>
      </c>
    </row>
    <row r="17" spans="2:6" x14ac:dyDescent="0.3">
      <c r="B17" s="934" t="s">
        <v>725</v>
      </c>
      <c r="C17" s="935"/>
      <c r="E17"/>
      <c r="F17" s="937" t="s">
        <v>726</v>
      </c>
    </row>
    <row r="18" spans="2:6" x14ac:dyDescent="0.3">
      <c r="B18" s="7"/>
      <c r="C18" s="7"/>
      <c r="E18"/>
      <c r="F18"/>
    </row>
    <row r="19" spans="2:6" x14ac:dyDescent="0.3">
      <c r="B19" s="7"/>
      <c r="C19" s="7"/>
      <c r="E19" s="59"/>
      <c r="F19"/>
    </row>
    <row r="20" spans="2:6" x14ac:dyDescent="0.3">
      <c r="B20" s="7"/>
      <c r="C20" s="7"/>
      <c r="E20" s="59"/>
      <c r="F20"/>
    </row>
    <row r="21" spans="2:6" x14ac:dyDescent="0.3">
      <c r="B21" s="7"/>
      <c r="C21" s="7"/>
      <c r="E21" s="59"/>
      <c r="F21"/>
    </row>
    <row r="22" spans="2:6" x14ac:dyDescent="0.3">
      <c r="B22" s="946" t="s">
        <v>731</v>
      </c>
      <c r="C22" s="939"/>
      <c r="E22" s="59"/>
      <c r="F22" s="941" t="s">
        <v>728</v>
      </c>
    </row>
    <row r="23" spans="2:6" x14ac:dyDescent="0.3">
      <c r="B23" s="946" t="s">
        <v>732</v>
      </c>
      <c r="C23" s="942"/>
      <c r="E23" s="59"/>
      <c r="F23" s="941" t="s">
        <v>730</v>
      </c>
    </row>
    <row r="26" spans="2:6" ht="17.25" thickBot="1" x14ac:dyDescent="0.35"/>
    <row r="27" spans="2:6" ht="17.25" thickBot="1" x14ac:dyDescent="0.35">
      <c r="B27" s="1130" t="s">
        <v>608</v>
      </c>
      <c r="C27" s="1131"/>
      <c r="D27" s="1131"/>
      <c r="E27" s="1131"/>
      <c r="F27" s="1132"/>
    </row>
    <row r="28" spans="2:6" ht="17.25" thickBot="1" x14ac:dyDescent="0.35">
      <c r="B28" s="1165" t="s">
        <v>360</v>
      </c>
      <c r="C28" s="1166"/>
      <c r="D28" s="1166"/>
      <c r="E28" s="1166"/>
      <c r="F28" s="1167"/>
    </row>
    <row r="29" spans="2:6" ht="17.25" thickBot="1" x14ac:dyDescent="0.35">
      <c r="B29" s="1153" t="s">
        <v>609</v>
      </c>
      <c r="C29" s="1154"/>
      <c r="D29" s="1154"/>
      <c r="E29" s="1154"/>
      <c r="F29" s="1155"/>
    </row>
    <row r="30" spans="2:6" ht="45" x14ac:dyDescent="0.3">
      <c r="B30" s="662" t="s">
        <v>0</v>
      </c>
      <c r="C30" s="663" t="s">
        <v>115</v>
      </c>
      <c r="D30" s="663" t="s">
        <v>116</v>
      </c>
      <c r="E30" s="663" t="s">
        <v>610</v>
      </c>
      <c r="F30" s="664" t="s">
        <v>117</v>
      </c>
    </row>
    <row r="31" spans="2:6" ht="17.25" thickBot="1" x14ac:dyDescent="0.35">
      <c r="B31" s="665">
        <v>1</v>
      </c>
      <c r="C31" s="666">
        <v>2</v>
      </c>
      <c r="D31" s="667">
        <v>3</v>
      </c>
      <c r="E31" s="667">
        <v>4</v>
      </c>
      <c r="F31" s="668">
        <v>5</v>
      </c>
    </row>
    <row r="32" spans="2:6" x14ac:dyDescent="0.3">
      <c r="B32" s="669">
        <v>1</v>
      </c>
      <c r="C32" s="670" t="s">
        <v>611</v>
      </c>
      <c r="D32" s="671"/>
      <c r="E32" s="672">
        <v>3.02</v>
      </c>
      <c r="F32" s="673" t="s">
        <v>392</v>
      </c>
    </row>
    <row r="33" spans="2:6" x14ac:dyDescent="0.3">
      <c r="B33" s="674">
        <v>2</v>
      </c>
      <c r="C33" s="675" t="s">
        <v>612</v>
      </c>
      <c r="D33" s="676"/>
      <c r="E33" s="677">
        <v>3.77</v>
      </c>
      <c r="F33" s="678" t="s">
        <v>392</v>
      </c>
    </row>
    <row r="34" spans="2:6" x14ac:dyDescent="0.3">
      <c r="B34" s="674">
        <v>3</v>
      </c>
      <c r="C34" s="675" t="s">
        <v>613</v>
      </c>
      <c r="D34" s="676"/>
      <c r="E34" s="677">
        <v>3.06</v>
      </c>
      <c r="F34" s="678" t="s">
        <v>392</v>
      </c>
    </row>
    <row r="35" spans="2:6" x14ac:dyDescent="0.3">
      <c r="B35" s="679">
        <v>4</v>
      </c>
      <c r="C35" s="680" t="s">
        <v>614</v>
      </c>
      <c r="D35" s="681"/>
      <c r="E35" s="682">
        <v>1.1599999999999999</v>
      </c>
      <c r="F35" s="683" t="s">
        <v>392</v>
      </c>
    </row>
    <row r="36" spans="2:6" x14ac:dyDescent="0.3">
      <c r="B36" s="679">
        <v>5</v>
      </c>
      <c r="C36" s="680" t="s">
        <v>615</v>
      </c>
      <c r="D36" s="681"/>
      <c r="E36" s="682">
        <v>39.35</v>
      </c>
      <c r="F36" s="683" t="s">
        <v>392</v>
      </c>
    </row>
    <row r="37" spans="2:6" x14ac:dyDescent="0.3">
      <c r="B37" s="679">
        <v>6</v>
      </c>
      <c r="C37" s="680" t="s">
        <v>616</v>
      </c>
      <c r="D37" s="681"/>
      <c r="E37" s="682">
        <v>49.02</v>
      </c>
      <c r="F37" s="683" t="s">
        <v>392</v>
      </c>
    </row>
    <row r="38" spans="2:6" x14ac:dyDescent="0.3">
      <c r="B38" s="679">
        <v>7</v>
      </c>
      <c r="C38" s="680" t="s">
        <v>617</v>
      </c>
      <c r="D38" s="681"/>
      <c r="E38" s="682">
        <v>3.82</v>
      </c>
      <c r="F38" s="683" t="s">
        <v>392</v>
      </c>
    </row>
    <row r="39" spans="2:6" x14ac:dyDescent="0.3">
      <c r="B39" s="679">
        <v>8</v>
      </c>
      <c r="C39" s="680" t="s">
        <v>618</v>
      </c>
      <c r="D39" s="681"/>
      <c r="E39" s="682">
        <v>25.53</v>
      </c>
      <c r="F39" s="683" t="s">
        <v>392</v>
      </c>
    </row>
    <row r="40" spans="2:6" ht="17.25" thickBot="1" x14ac:dyDescent="0.35">
      <c r="B40" s="684">
        <v>9</v>
      </c>
      <c r="C40" s="685" t="s">
        <v>619</v>
      </c>
      <c r="D40" s="686"/>
      <c r="E40" s="687">
        <v>228.52</v>
      </c>
      <c r="F40" s="688" t="s">
        <v>392</v>
      </c>
    </row>
    <row r="41" spans="2:6" ht="17.25" thickBot="1" x14ac:dyDescent="0.35">
      <c r="B41" s="689"/>
      <c r="C41" s="690" t="s">
        <v>22</v>
      </c>
      <c r="D41" s="690"/>
      <c r="E41" s="690">
        <f>SUM(E32:E40)</f>
        <v>357.25</v>
      </c>
      <c r="F41" s="691"/>
    </row>
  </sheetData>
  <mergeCells count="6">
    <mergeCell ref="B29:F29"/>
    <mergeCell ref="B2:F2"/>
    <mergeCell ref="B3:F3"/>
    <mergeCell ref="B4:F4"/>
    <mergeCell ref="B27:F27"/>
    <mergeCell ref="B28:F28"/>
  </mergeCells>
  <printOptions horizontalCentered="1" verticalCentered="1"/>
  <pageMargins left="0.25" right="0.25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B1:F27"/>
  <sheetViews>
    <sheetView zoomScaleNormal="100" workbookViewId="0">
      <selection activeCell="C13" sqref="C13"/>
    </sheetView>
  </sheetViews>
  <sheetFormatPr defaultRowHeight="15" x14ac:dyDescent="0.25"/>
  <cols>
    <col min="2" max="2" width="9.28515625" bestFit="1" customWidth="1"/>
    <col min="3" max="3" width="55.42578125" customWidth="1"/>
    <col min="4" max="4" width="9.28515625" bestFit="1" customWidth="1"/>
    <col min="5" max="5" width="9.42578125" bestFit="1" customWidth="1"/>
    <col min="6" max="6" width="9.28515625" bestFit="1" customWidth="1"/>
  </cols>
  <sheetData>
    <row r="1" spans="2:6" ht="15.75" thickBot="1" x14ac:dyDescent="0.3"/>
    <row r="2" spans="2:6" ht="17.25" thickBot="1" x14ac:dyDescent="0.3">
      <c r="B2" s="1100" t="s">
        <v>622</v>
      </c>
      <c r="C2" s="1101"/>
      <c r="D2" s="1101"/>
      <c r="E2" s="1101"/>
      <c r="F2" s="1102"/>
    </row>
    <row r="3" spans="2:6" ht="17.25" thickBot="1" x14ac:dyDescent="0.35">
      <c r="B3" s="1159" t="s">
        <v>621</v>
      </c>
      <c r="C3" s="1160"/>
      <c r="D3" s="1160"/>
      <c r="E3" s="1160"/>
      <c r="F3" s="1161"/>
    </row>
    <row r="4" spans="2:6" ht="17.25" thickBot="1" x14ac:dyDescent="0.35">
      <c r="B4" s="1168" t="s">
        <v>623</v>
      </c>
      <c r="C4" s="1169"/>
      <c r="D4" s="1169"/>
      <c r="E4" s="1169"/>
      <c r="F4" s="1170"/>
    </row>
    <row r="5" spans="2:6" ht="30" x14ac:dyDescent="0.25">
      <c r="B5" s="1171" t="s">
        <v>0</v>
      </c>
      <c r="C5" s="1173" t="s">
        <v>74</v>
      </c>
      <c r="D5" s="697" t="s">
        <v>402</v>
      </c>
      <c r="E5" s="697" t="s">
        <v>392</v>
      </c>
      <c r="F5" s="698" t="s">
        <v>2</v>
      </c>
    </row>
    <row r="6" spans="2:6" x14ac:dyDescent="0.25">
      <c r="B6" s="1172"/>
      <c r="C6" s="1174"/>
      <c r="D6" s="699" t="s">
        <v>3</v>
      </c>
      <c r="E6" s="699" t="s">
        <v>3</v>
      </c>
      <c r="F6" s="700"/>
    </row>
    <row r="7" spans="2:6" ht="15.75" thickBot="1" x14ac:dyDescent="0.3">
      <c r="B7" s="701">
        <v>1</v>
      </c>
      <c r="C7" s="702">
        <v>2</v>
      </c>
      <c r="D7" s="702">
        <v>3</v>
      </c>
      <c r="E7" s="702">
        <v>3</v>
      </c>
      <c r="F7" s="703">
        <v>5</v>
      </c>
    </row>
    <row r="8" spans="2:6" ht="16.5" x14ac:dyDescent="0.3">
      <c r="B8" s="704">
        <v>1</v>
      </c>
      <c r="C8" s="705" t="s">
        <v>397</v>
      </c>
      <c r="D8" s="706"/>
      <c r="E8" s="707">
        <v>-2.0099999999999998</v>
      </c>
      <c r="F8" s="708"/>
    </row>
    <row r="9" spans="2:6" ht="16.5" x14ac:dyDescent="0.3">
      <c r="B9" s="709">
        <v>2</v>
      </c>
      <c r="C9" s="710" t="s">
        <v>695</v>
      </c>
      <c r="D9" s="706"/>
      <c r="E9" s="706">
        <v>-281.77</v>
      </c>
      <c r="F9" s="711"/>
    </row>
    <row r="10" spans="2:6" ht="16.5" x14ac:dyDescent="0.3">
      <c r="B10" s="709">
        <v>3</v>
      </c>
      <c r="C10" s="710" t="s">
        <v>22</v>
      </c>
      <c r="D10" s="706">
        <f>SUM(D8:D9)</f>
        <v>0</v>
      </c>
      <c r="E10" s="706">
        <f>SUM(E8:E9)</f>
        <v>-283.77999999999997</v>
      </c>
      <c r="F10" s="711"/>
    </row>
    <row r="11" spans="2:6" ht="16.5" x14ac:dyDescent="0.3">
      <c r="B11" s="712"/>
      <c r="C11" s="713" t="s">
        <v>118</v>
      </c>
      <c r="D11" s="710"/>
      <c r="E11" s="706"/>
      <c r="F11" s="711"/>
    </row>
    <row r="12" spans="2:6" ht="33" x14ac:dyDescent="0.3">
      <c r="B12" s="709">
        <v>4</v>
      </c>
      <c r="C12" s="714" t="s">
        <v>398</v>
      </c>
      <c r="D12" s="706">
        <v>0</v>
      </c>
      <c r="E12" s="706">
        <v>186.17</v>
      </c>
      <c r="F12" s="711"/>
    </row>
    <row r="13" spans="2:6" ht="16.5" x14ac:dyDescent="0.3">
      <c r="B13" s="709">
        <v>5</v>
      </c>
      <c r="C13" s="714" t="s">
        <v>704</v>
      </c>
      <c r="D13" s="723">
        <v>0.3</v>
      </c>
      <c r="E13" s="706"/>
      <c r="F13" s="711"/>
    </row>
    <row r="14" spans="2:6" ht="16.5" x14ac:dyDescent="0.3">
      <c r="B14" s="715"/>
      <c r="C14" s="716" t="s">
        <v>334</v>
      </c>
      <c r="D14" s="717">
        <f>+D10+D13</f>
        <v>0.3</v>
      </c>
      <c r="E14" s="717">
        <f>+E10+E12</f>
        <v>-97.609999999999985</v>
      </c>
      <c r="F14" s="718"/>
    </row>
    <row r="15" spans="2:6" ht="17.25" thickBot="1" x14ac:dyDescent="0.35">
      <c r="B15" s="719"/>
      <c r="C15" s="720" t="s">
        <v>119</v>
      </c>
      <c r="D15" s="721">
        <v>0</v>
      </c>
      <c r="E15" s="721">
        <v>0</v>
      </c>
      <c r="F15" s="722"/>
    </row>
    <row r="20" spans="2:6" ht="16.5" x14ac:dyDescent="0.3">
      <c r="B20" s="934" t="s">
        <v>723</v>
      </c>
      <c r="C20" s="935"/>
      <c r="D20" s="521"/>
      <c r="F20" s="936" t="s">
        <v>724</v>
      </c>
    </row>
    <row r="21" spans="2:6" ht="16.5" x14ac:dyDescent="0.3">
      <c r="B21" s="934" t="s">
        <v>725</v>
      </c>
      <c r="C21" s="935"/>
      <c r="D21" s="521"/>
      <c r="F21" s="937" t="s">
        <v>726</v>
      </c>
    </row>
    <row r="22" spans="2:6" ht="16.5" x14ac:dyDescent="0.3">
      <c r="B22" s="7"/>
      <c r="C22" s="7"/>
      <c r="D22" s="521"/>
    </row>
    <row r="23" spans="2:6" ht="16.5" x14ac:dyDescent="0.3">
      <c r="B23" s="7"/>
      <c r="C23" s="7"/>
      <c r="D23" s="521"/>
      <c r="E23" s="59"/>
    </row>
    <row r="24" spans="2:6" ht="16.5" x14ac:dyDescent="0.3">
      <c r="B24" s="7"/>
      <c r="C24" s="7"/>
      <c r="D24" s="521"/>
      <c r="E24" s="59"/>
    </row>
    <row r="25" spans="2:6" ht="16.5" x14ac:dyDescent="0.3">
      <c r="B25" s="7"/>
      <c r="C25" s="7"/>
      <c r="D25" s="521"/>
      <c r="E25" s="59"/>
    </row>
    <row r="26" spans="2:6" ht="16.5" x14ac:dyDescent="0.3">
      <c r="B26" s="946" t="s">
        <v>731</v>
      </c>
      <c r="C26" s="939"/>
      <c r="D26" s="521"/>
      <c r="E26" s="59"/>
      <c r="F26" s="941" t="s">
        <v>728</v>
      </c>
    </row>
    <row r="27" spans="2:6" ht="16.5" x14ac:dyDescent="0.3">
      <c r="B27" s="946" t="s">
        <v>732</v>
      </c>
      <c r="C27" s="942"/>
      <c r="D27" s="521"/>
      <c r="E27" s="59"/>
      <c r="F27" s="941" t="s">
        <v>730</v>
      </c>
    </row>
  </sheetData>
  <mergeCells count="5">
    <mergeCell ref="B2:F2"/>
    <mergeCell ref="B3:F3"/>
    <mergeCell ref="B4:F4"/>
    <mergeCell ref="B5:B6"/>
    <mergeCell ref="C5:C6"/>
  </mergeCells>
  <pageMargins left="0.7" right="0.7" top="0.75" bottom="0.75" header="0.3" footer="0.3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C00000"/>
  </sheetPr>
  <dimension ref="B1:J40"/>
  <sheetViews>
    <sheetView topLeftCell="A10" zoomScaleNormal="100" workbookViewId="0">
      <selection activeCell="B2" sqref="B2:G25"/>
    </sheetView>
  </sheetViews>
  <sheetFormatPr defaultRowHeight="15" x14ac:dyDescent="0.25"/>
  <cols>
    <col min="3" max="3" width="28.7109375" bestFit="1" customWidth="1"/>
    <col min="4" max="6" width="17.42578125" customWidth="1"/>
    <col min="7" max="7" width="19.42578125" customWidth="1"/>
  </cols>
  <sheetData>
    <row r="1" spans="2:7" ht="15.75" thickBot="1" x14ac:dyDescent="0.3"/>
    <row r="2" spans="2:7" ht="17.25" thickBot="1" x14ac:dyDescent="0.35">
      <c r="B2" s="1156" t="s">
        <v>630</v>
      </c>
      <c r="C2" s="1157"/>
      <c r="D2" s="1157"/>
      <c r="E2" s="1157"/>
      <c r="F2" s="1157"/>
      <c r="G2" s="1158"/>
    </row>
    <row r="3" spans="2:7" ht="16.5" thickBot="1" x14ac:dyDescent="0.3">
      <c r="B3" s="1027" t="s">
        <v>360</v>
      </c>
      <c r="C3" s="1028"/>
      <c r="D3" s="1028"/>
      <c r="E3" s="1028"/>
      <c r="F3" s="1028"/>
      <c r="G3" s="1029"/>
    </row>
    <row r="4" spans="2:7" ht="16.5" thickBot="1" x14ac:dyDescent="0.3">
      <c r="B4" s="1027" t="s">
        <v>291</v>
      </c>
      <c r="C4" s="1028"/>
      <c r="D4" s="1028"/>
      <c r="E4" s="1028"/>
      <c r="F4" s="1028"/>
      <c r="G4" s="1029"/>
    </row>
    <row r="5" spans="2:7" ht="16.5" x14ac:dyDescent="0.25">
      <c r="B5" s="724" t="s">
        <v>624</v>
      </c>
      <c r="C5" s="725" t="s">
        <v>1</v>
      </c>
      <c r="D5" s="726" t="s">
        <v>153</v>
      </c>
      <c r="E5" s="726" t="s">
        <v>154</v>
      </c>
      <c r="F5" s="725" t="s">
        <v>155</v>
      </c>
      <c r="G5" s="727" t="s">
        <v>155</v>
      </c>
    </row>
    <row r="6" spans="2:7" ht="16.5" x14ac:dyDescent="0.25">
      <c r="B6" s="728"/>
      <c r="C6" s="729"/>
      <c r="D6" s="388" t="s">
        <v>522</v>
      </c>
      <c r="E6" s="388" t="s">
        <v>522</v>
      </c>
      <c r="F6" s="388" t="s">
        <v>522</v>
      </c>
      <c r="G6" s="389" t="s">
        <v>634</v>
      </c>
    </row>
    <row r="7" spans="2:7" ht="16.5" x14ac:dyDescent="0.25">
      <c r="B7" s="730">
        <v>1</v>
      </c>
      <c r="C7" s="388">
        <v>2</v>
      </c>
      <c r="D7" s="388">
        <v>3</v>
      </c>
      <c r="E7" s="388">
        <v>4</v>
      </c>
      <c r="F7" s="388">
        <v>7</v>
      </c>
      <c r="G7" s="389">
        <v>6</v>
      </c>
    </row>
    <row r="8" spans="2:7" ht="15.75" x14ac:dyDescent="0.25">
      <c r="B8" s="395">
        <v>1</v>
      </c>
      <c r="C8" s="731" t="s">
        <v>625</v>
      </c>
      <c r="D8" s="320">
        <f>'D31-FY17-PPURCHASE'!F8</f>
        <v>619.42499999999995</v>
      </c>
      <c r="E8" s="320">
        <f>'D21-ERC-FY18-P1'!$F$27/10^5</f>
        <v>606.54933239999991</v>
      </c>
      <c r="F8" s="320">
        <f>D8-E8</f>
        <v>12.875667600000043</v>
      </c>
      <c r="G8" s="732">
        <f>F8/D8</f>
        <v>2.0786483593655477E-2</v>
      </c>
    </row>
    <row r="9" spans="2:7" ht="15.75" x14ac:dyDescent="0.25">
      <c r="B9" s="395">
        <v>2</v>
      </c>
      <c r="C9" s="731" t="s">
        <v>626</v>
      </c>
      <c r="D9" s="320">
        <f>'D31-FY17-PPURCHASE'!F9</f>
        <v>243.14924999999999</v>
      </c>
      <c r="E9" s="320">
        <f>'D21-ERC-FY18-P23'!$F$27/10^5</f>
        <v>239.51507936000002</v>
      </c>
      <c r="F9" s="320">
        <f>D9-E9</f>
        <v>3.6341706399999794</v>
      </c>
      <c r="G9" s="732">
        <f>F9/D9</f>
        <v>1.4946254779728827E-2</v>
      </c>
    </row>
    <row r="10" spans="2:7" ht="15.75" x14ac:dyDescent="0.25">
      <c r="B10" s="395">
        <v>3</v>
      </c>
      <c r="C10" s="731" t="s">
        <v>632</v>
      </c>
      <c r="D10" s="320">
        <f>'D31-FY17-PPURCHASE'!$F$10+'D31-FY17-PPURCHASE'!$F$11</f>
        <v>5.7524199999999999</v>
      </c>
      <c r="E10" s="320">
        <f>'D21-ERC-FY18-P5'!$F$27/10^5</f>
        <v>4.7325347681680006</v>
      </c>
      <c r="F10" s="320">
        <f>D10-E10</f>
        <v>1.0198852318319993</v>
      </c>
      <c r="G10" s="733">
        <f>F10/D10</f>
        <v>0.17729672587050307</v>
      </c>
    </row>
    <row r="11" spans="2:7" ht="16.5" x14ac:dyDescent="0.3">
      <c r="B11" s="734">
        <v>4</v>
      </c>
      <c r="C11" s="735" t="s">
        <v>156</v>
      </c>
      <c r="D11" s="741">
        <f>SUM(D8:D10)</f>
        <v>868.32666999999992</v>
      </c>
      <c r="E11" s="741">
        <f>SUM(E8:E10)</f>
        <v>850.79694652816795</v>
      </c>
      <c r="F11" s="741">
        <f>SUM(F8:F10)</f>
        <v>17.529723471832021</v>
      </c>
      <c r="G11" s="736">
        <f>F11/D11</f>
        <v>2.0187936265774288E-2</v>
      </c>
    </row>
    <row r="12" spans="2:7" ht="15.75" x14ac:dyDescent="0.25">
      <c r="B12" s="395">
        <v>5</v>
      </c>
      <c r="C12" s="411" t="s">
        <v>628</v>
      </c>
      <c r="D12" s="742">
        <v>920.5</v>
      </c>
      <c r="E12" s="742">
        <v>885.5</v>
      </c>
      <c r="F12" s="743">
        <f>D12-E12</f>
        <v>35</v>
      </c>
      <c r="G12" s="737">
        <v>3.7999999999999999E-2</v>
      </c>
    </row>
    <row r="13" spans="2:7" ht="17.25" thickBot="1" x14ac:dyDescent="0.35">
      <c r="B13" s="738">
        <v>6</v>
      </c>
      <c r="C13" s="739" t="s">
        <v>629</v>
      </c>
      <c r="D13" s="744">
        <v>803.97754999999995</v>
      </c>
      <c r="E13" s="744">
        <v>757.04921662130846</v>
      </c>
      <c r="F13" s="745">
        <v>46.928333378691491</v>
      </c>
      <c r="G13" s="740">
        <v>5.8370203718613199E-2</v>
      </c>
    </row>
    <row r="18" spans="2:10" ht="16.5" x14ac:dyDescent="0.3">
      <c r="B18" s="934" t="s">
        <v>723</v>
      </c>
      <c r="C18" s="935"/>
      <c r="D18" s="521"/>
      <c r="G18" s="936" t="s">
        <v>724</v>
      </c>
      <c r="H18" s="252"/>
      <c r="I18" s="252"/>
      <c r="J18" s="252"/>
    </row>
    <row r="19" spans="2:10" ht="16.5" x14ac:dyDescent="0.3">
      <c r="B19" s="934" t="s">
        <v>725</v>
      </c>
      <c r="C19" s="935"/>
      <c r="D19" s="521"/>
      <c r="G19" s="937" t="s">
        <v>726</v>
      </c>
      <c r="H19" s="252"/>
      <c r="I19" s="252"/>
      <c r="J19" s="252"/>
    </row>
    <row r="20" spans="2:10" ht="16.5" x14ac:dyDescent="0.3">
      <c r="B20" s="7"/>
      <c r="C20" s="7"/>
      <c r="D20" s="521"/>
      <c r="H20" s="252"/>
      <c r="I20" s="252"/>
      <c r="J20" s="252"/>
    </row>
    <row r="21" spans="2:10" ht="16.5" x14ac:dyDescent="0.3">
      <c r="B21" s="7"/>
      <c r="C21" s="7"/>
      <c r="D21" s="521"/>
      <c r="E21" s="59"/>
      <c r="F21" s="7"/>
      <c r="H21" s="252"/>
      <c r="I21" s="252"/>
      <c r="J21" s="252"/>
    </row>
    <row r="22" spans="2:10" ht="16.5" x14ac:dyDescent="0.3">
      <c r="B22" s="7"/>
      <c r="C22" s="7"/>
      <c r="D22" s="521"/>
      <c r="E22" s="59"/>
      <c r="F22" s="7"/>
      <c r="H22" s="252"/>
      <c r="I22" s="252"/>
      <c r="J22" s="252"/>
    </row>
    <row r="23" spans="2:10" ht="16.5" x14ac:dyDescent="0.3">
      <c r="B23" s="7"/>
      <c r="C23" s="7"/>
      <c r="D23" s="521"/>
      <c r="E23" s="59"/>
      <c r="F23" s="7"/>
      <c r="H23" s="252"/>
      <c r="I23" s="252"/>
      <c r="J23" s="252"/>
    </row>
    <row r="24" spans="2:10" ht="16.5" x14ac:dyDescent="0.3">
      <c r="B24" s="946" t="s">
        <v>731</v>
      </c>
      <c r="C24" s="939"/>
      <c r="D24" s="521"/>
      <c r="E24" s="59"/>
      <c r="G24" s="941" t="s">
        <v>728</v>
      </c>
      <c r="H24" s="252"/>
      <c r="I24" s="252"/>
      <c r="J24" s="252"/>
    </row>
    <row r="25" spans="2:10" ht="16.5" x14ac:dyDescent="0.3">
      <c r="B25" s="946" t="s">
        <v>732</v>
      </c>
      <c r="C25" s="942"/>
      <c r="D25" s="521"/>
      <c r="E25" s="59"/>
      <c r="G25" s="941" t="s">
        <v>730</v>
      </c>
      <c r="H25" s="252"/>
      <c r="I25" s="252"/>
      <c r="J25" s="252"/>
    </row>
    <row r="27" spans="2:10" ht="17.25" x14ac:dyDescent="0.3">
      <c r="C27" s="149" t="s">
        <v>633</v>
      </c>
    </row>
    <row r="28" spans="2:10" ht="15.75" thickBot="1" x14ac:dyDescent="0.3"/>
    <row r="29" spans="2:10" ht="18" thickBot="1" x14ac:dyDescent="0.35">
      <c r="B29" s="1178" t="s">
        <v>631</v>
      </c>
      <c r="C29" s="1179"/>
      <c r="D29" s="1179"/>
      <c r="E29" s="1179"/>
      <c r="F29" s="1179"/>
      <c r="G29" s="1180"/>
    </row>
    <row r="30" spans="2:10" ht="16.5" thickBot="1" x14ac:dyDescent="0.3">
      <c r="B30" s="1175" t="s">
        <v>360</v>
      </c>
      <c r="C30" s="1176"/>
      <c r="D30" s="1176"/>
      <c r="E30" s="1176"/>
      <c r="F30" s="1176"/>
      <c r="G30" s="1177"/>
    </row>
    <row r="31" spans="2:10" ht="16.5" thickBot="1" x14ac:dyDescent="0.3">
      <c r="B31" s="1175" t="s">
        <v>291</v>
      </c>
      <c r="C31" s="1176"/>
      <c r="D31" s="1176"/>
      <c r="E31" s="1176"/>
      <c r="F31" s="1176"/>
      <c r="G31" s="1177"/>
    </row>
    <row r="32" spans="2:10" ht="17.25" x14ac:dyDescent="0.25">
      <c r="B32" s="121" t="s">
        <v>624</v>
      </c>
      <c r="C32" s="122" t="s">
        <v>1</v>
      </c>
      <c r="D32" s="123" t="s">
        <v>153</v>
      </c>
      <c r="E32" s="123" t="s">
        <v>154</v>
      </c>
      <c r="F32" s="122" t="s">
        <v>155</v>
      </c>
      <c r="G32" s="124" t="s">
        <v>155</v>
      </c>
    </row>
    <row r="33" spans="2:7" ht="17.25" x14ac:dyDescent="0.25">
      <c r="B33" s="125"/>
      <c r="C33" s="126"/>
      <c r="D33" s="127" t="s">
        <v>522</v>
      </c>
      <c r="E33" s="127" t="s">
        <v>522</v>
      </c>
      <c r="F33" s="127" t="s">
        <v>522</v>
      </c>
      <c r="G33" s="128" t="s">
        <v>634</v>
      </c>
    </row>
    <row r="34" spans="2:7" ht="17.25" x14ac:dyDescent="0.25">
      <c r="B34" s="129">
        <v>1</v>
      </c>
      <c r="C34" s="127">
        <v>2</v>
      </c>
      <c r="D34" s="127">
        <v>3</v>
      </c>
      <c r="E34" s="127">
        <v>4</v>
      </c>
      <c r="F34" s="127">
        <v>7</v>
      </c>
      <c r="G34" s="128">
        <v>6</v>
      </c>
    </row>
    <row r="35" spans="2:7" x14ac:dyDescent="0.25">
      <c r="B35" s="130">
        <v>1</v>
      </c>
      <c r="C35" s="131" t="s">
        <v>625</v>
      </c>
      <c r="D35" s="132">
        <v>644.29200000000003</v>
      </c>
      <c r="E35" s="132">
        <v>620.94911860000002</v>
      </c>
      <c r="F35" s="132">
        <v>23.34288140000001</v>
      </c>
      <c r="G35" s="133">
        <v>3.6230282853116302E-2</v>
      </c>
    </row>
    <row r="36" spans="2:7" x14ac:dyDescent="0.25">
      <c r="B36" s="130">
        <v>2</v>
      </c>
      <c r="C36" s="131" t="s">
        <v>626</v>
      </c>
      <c r="D36" s="132">
        <v>218.48699999999999</v>
      </c>
      <c r="E36" s="132">
        <v>212.59609618000002</v>
      </c>
      <c r="F36" s="132">
        <v>5.890903819999977</v>
      </c>
      <c r="G36" s="133">
        <v>2.69622623771665E-2</v>
      </c>
    </row>
    <row r="37" spans="2:7" x14ac:dyDescent="0.25">
      <c r="B37" s="130">
        <v>3</v>
      </c>
      <c r="C37" s="131" t="s">
        <v>627</v>
      </c>
      <c r="D37" s="132">
        <v>5.2659599999999998</v>
      </c>
      <c r="E37" s="132">
        <v>4.3742803867207005</v>
      </c>
      <c r="F37" s="132">
        <v>0.89167961327929923</v>
      </c>
      <c r="G37" s="133">
        <v>0.16932897577636352</v>
      </c>
    </row>
    <row r="38" spans="2:7" ht="17.25" x14ac:dyDescent="0.3">
      <c r="B38" s="134">
        <v>4</v>
      </c>
      <c r="C38" s="135" t="s">
        <v>156</v>
      </c>
      <c r="D38" s="136">
        <v>868.04496000000006</v>
      </c>
      <c r="E38" s="136">
        <v>839.26601516672088</v>
      </c>
      <c r="F38" s="137">
        <v>28.778944833279184</v>
      </c>
      <c r="G38" s="138">
        <v>3.3153749125251744</v>
      </c>
    </row>
    <row r="39" spans="2:7" ht="15.75" x14ac:dyDescent="0.25">
      <c r="B39" s="130">
        <v>5</v>
      </c>
      <c r="C39" s="139" t="s">
        <v>628</v>
      </c>
      <c r="D39" s="140"/>
      <c r="E39" s="140"/>
      <c r="F39" s="141"/>
      <c r="G39" s="142"/>
    </row>
    <row r="40" spans="2:7" ht="18" thickBot="1" x14ac:dyDescent="0.35">
      <c r="B40" s="143">
        <v>6</v>
      </c>
      <c r="C40" s="144" t="s">
        <v>629</v>
      </c>
      <c r="D40" s="145">
        <v>803.97754999999995</v>
      </c>
      <c r="E40" s="145">
        <v>757.04921662130846</v>
      </c>
      <c r="F40" s="146">
        <v>46.928333378691491</v>
      </c>
      <c r="G40" s="147">
        <v>5.8370203718613158</v>
      </c>
    </row>
  </sheetData>
  <mergeCells count="6">
    <mergeCell ref="B31:G31"/>
    <mergeCell ref="B2:G2"/>
    <mergeCell ref="B3:G3"/>
    <mergeCell ref="B4:G4"/>
    <mergeCell ref="B29:G29"/>
    <mergeCell ref="B30:G30"/>
  </mergeCells>
  <pageMargins left="0.7" right="0.7" top="0.75" bottom="0.75" header="0.3" footer="0.3"/>
  <pageSetup paperSize="9" scale="85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0000"/>
  </sheetPr>
  <dimension ref="B1:I38"/>
  <sheetViews>
    <sheetView topLeftCell="A28" zoomScaleNormal="100" workbookViewId="0">
      <selection activeCell="B2" sqref="B2:G38"/>
    </sheetView>
  </sheetViews>
  <sheetFormatPr defaultRowHeight="15" x14ac:dyDescent="0.25"/>
  <cols>
    <col min="3" max="3" width="47.7109375" bestFit="1" customWidth="1"/>
    <col min="5" max="5" width="10.42578125" bestFit="1" customWidth="1"/>
  </cols>
  <sheetData>
    <row r="1" spans="2:9" ht="15.75" thickBot="1" x14ac:dyDescent="0.3"/>
    <row r="2" spans="2:9" ht="17.25" thickBot="1" x14ac:dyDescent="0.35">
      <c r="B2" s="1156" t="s">
        <v>635</v>
      </c>
      <c r="C2" s="1157"/>
      <c r="D2" s="1157"/>
      <c r="E2" s="1157"/>
      <c r="F2" s="1157"/>
      <c r="G2" s="1158"/>
    </row>
    <row r="3" spans="2:9" ht="16.5" thickBot="1" x14ac:dyDescent="0.3">
      <c r="B3" s="1027" t="s">
        <v>621</v>
      </c>
      <c r="C3" s="1028"/>
      <c r="D3" s="1028"/>
      <c r="E3" s="1028"/>
      <c r="F3" s="1028"/>
      <c r="G3" s="1029"/>
    </row>
    <row r="4" spans="2:9" ht="16.5" thickBot="1" x14ac:dyDescent="0.3">
      <c r="B4" s="1027" t="s">
        <v>636</v>
      </c>
      <c r="C4" s="1028"/>
      <c r="D4" s="1028"/>
      <c r="E4" s="1028"/>
      <c r="F4" s="1028"/>
      <c r="G4" s="1029"/>
    </row>
    <row r="5" spans="2:9" ht="16.5" x14ac:dyDescent="0.25">
      <c r="B5" s="746" t="s">
        <v>0</v>
      </c>
      <c r="C5" s="747" t="s">
        <v>1</v>
      </c>
      <c r="D5" s="747" t="s">
        <v>120</v>
      </c>
      <c r="E5" s="747" t="s">
        <v>402</v>
      </c>
      <c r="F5" s="747" t="s">
        <v>392</v>
      </c>
      <c r="G5" s="748" t="s">
        <v>2</v>
      </c>
    </row>
    <row r="6" spans="2:9" ht="17.25" thickBot="1" x14ac:dyDescent="0.3">
      <c r="B6" s="749">
        <v>1</v>
      </c>
      <c r="C6" s="750">
        <v>2</v>
      </c>
      <c r="D6" s="750">
        <v>3</v>
      </c>
      <c r="E6" s="750">
        <v>4</v>
      </c>
      <c r="F6" s="750">
        <v>5</v>
      </c>
      <c r="G6" s="751">
        <v>6</v>
      </c>
    </row>
    <row r="7" spans="2:9" ht="15.75" x14ac:dyDescent="0.25">
      <c r="B7" s="393">
        <v>1</v>
      </c>
      <c r="C7" s="752" t="s">
        <v>121</v>
      </c>
      <c r="D7" s="752"/>
      <c r="E7" s="932">
        <f>+'D62 FY18 LOSS'!G11</f>
        <v>2.0187936265774288E-2</v>
      </c>
      <c r="F7" s="753">
        <v>3.3153749125251744</v>
      </c>
      <c r="G7" s="754"/>
      <c r="I7" s="148" t="s">
        <v>637</v>
      </c>
    </row>
    <row r="8" spans="2:9" ht="15.75" x14ac:dyDescent="0.25">
      <c r="B8" s="395">
        <v>2</v>
      </c>
      <c r="C8" s="755" t="s">
        <v>122</v>
      </c>
      <c r="D8" s="411"/>
      <c r="E8" s="380">
        <f>+'D73 Coll. Effy'!H30</f>
        <v>98.150378401033336</v>
      </c>
      <c r="F8" s="380">
        <v>99.412833279304294</v>
      </c>
      <c r="G8" s="756"/>
    </row>
    <row r="9" spans="2:9" ht="15.75" x14ac:dyDescent="0.25">
      <c r="B9" s="395" t="s">
        <v>126</v>
      </c>
      <c r="C9" s="411" t="s">
        <v>127</v>
      </c>
      <c r="D9" s="411"/>
      <c r="E9" s="411">
        <v>100</v>
      </c>
      <c r="F9" s="411">
        <v>100</v>
      </c>
      <c r="G9" s="756"/>
    </row>
    <row r="10" spans="2:9" ht="15.75" x14ac:dyDescent="0.25">
      <c r="B10" s="395" t="s">
        <v>128</v>
      </c>
      <c r="C10" s="755" t="s">
        <v>129</v>
      </c>
      <c r="D10" s="411"/>
      <c r="E10" s="408">
        <f>'D21-ERC-FY18'!$Q$31/10^7</f>
        <v>62.082847190455901</v>
      </c>
      <c r="F10" s="408">
        <v>59.465421839036352</v>
      </c>
      <c r="G10" s="756"/>
    </row>
    <row r="11" spans="2:9" ht="15.75" x14ac:dyDescent="0.25">
      <c r="B11" s="395">
        <v>5</v>
      </c>
      <c r="C11" s="411" t="s">
        <v>130</v>
      </c>
      <c r="D11" s="411"/>
      <c r="E11" s="411">
        <v>0</v>
      </c>
      <c r="F11" s="411">
        <v>0</v>
      </c>
      <c r="G11" s="756"/>
    </row>
    <row r="12" spans="2:9" ht="15.75" x14ac:dyDescent="0.25">
      <c r="B12" s="395" t="s">
        <v>131</v>
      </c>
      <c r="C12" s="411" t="s">
        <v>132</v>
      </c>
      <c r="D12" s="411"/>
      <c r="E12" s="411">
        <v>0</v>
      </c>
      <c r="F12" s="411">
        <v>0</v>
      </c>
      <c r="G12" s="756"/>
    </row>
    <row r="13" spans="2:9" ht="15.75" x14ac:dyDescent="0.25">
      <c r="B13" s="395" t="s">
        <v>133</v>
      </c>
      <c r="C13" s="411" t="s">
        <v>134</v>
      </c>
      <c r="D13" s="411"/>
      <c r="E13" s="757" t="s">
        <v>299</v>
      </c>
      <c r="F13" s="757" t="s">
        <v>299</v>
      </c>
      <c r="G13" s="756"/>
    </row>
    <row r="14" spans="2:9" ht="16.5" x14ac:dyDescent="0.3">
      <c r="B14" s="758">
        <v>7</v>
      </c>
      <c r="C14" s="735" t="s">
        <v>135</v>
      </c>
      <c r="D14" s="413"/>
      <c r="E14" s="413"/>
      <c r="F14" s="413"/>
      <c r="G14" s="759"/>
    </row>
    <row r="15" spans="2:9" ht="16.5" x14ac:dyDescent="0.3">
      <c r="B15" s="760" t="s">
        <v>136</v>
      </c>
      <c r="C15" s="761" t="s">
        <v>137</v>
      </c>
      <c r="D15" s="411"/>
      <c r="E15" s="411"/>
      <c r="F15" s="411"/>
      <c r="G15" s="756"/>
    </row>
    <row r="16" spans="2:9" ht="15.75" x14ac:dyDescent="0.25">
      <c r="B16" s="762" t="s">
        <v>123</v>
      </c>
      <c r="C16" s="763" t="s">
        <v>138</v>
      </c>
      <c r="D16" s="763"/>
      <c r="E16" s="535">
        <v>21.7</v>
      </c>
      <c r="F16" s="535">
        <v>18</v>
      </c>
      <c r="G16" s="756"/>
    </row>
    <row r="17" spans="2:7" ht="15.75" x14ac:dyDescent="0.25">
      <c r="B17" s="762" t="s">
        <v>124</v>
      </c>
      <c r="C17" s="763" t="s">
        <v>139</v>
      </c>
      <c r="D17" s="763"/>
      <c r="E17" s="535">
        <v>11.5</v>
      </c>
      <c r="F17" s="535">
        <v>9.9091890410958907</v>
      </c>
      <c r="G17" s="756"/>
    </row>
    <row r="18" spans="2:7" ht="15.75" x14ac:dyDescent="0.25">
      <c r="B18" s="762" t="s">
        <v>125</v>
      </c>
      <c r="C18" s="763" t="s">
        <v>140</v>
      </c>
      <c r="D18" s="763"/>
      <c r="E18" s="535">
        <f>E16/E17</f>
        <v>1.8869565217391304</v>
      </c>
      <c r="F18" s="535">
        <v>1.8164957722927162</v>
      </c>
      <c r="G18" s="756"/>
    </row>
    <row r="19" spans="2:7" ht="16.5" x14ac:dyDescent="0.3">
      <c r="B19" s="760" t="s">
        <v>141</v>
      </c>
      <c r="C19" s="761" t="s">
        <v>142</v>
      </c>
      <c r="D19" s="763"/>
      <c r="E19" s="535"/>
      <c r="F19" s="535"/>
      <c r="G19" s="756"/>
    </row>
    <row r="20" spans="2:7" ht="15.75" x14ac:dyDescent="0.25">
      <c r="B20" s="762" t="s">
        <v>143</v>
      </c>
      <c r="C20" s="763" t="s">
        <v>307</v>
      </c>
      <c r="D20" s="763"/>
      <c r="E20" s="535">
        <v>21.7</v>
      </c>
      <c r="F20" s="535">
        <v>18</v>
      </c>
      <c r="G20" s="756"/>
    </row>
    <row r="21" spans="2:7" ht="15.75" x14ac:dyDescent="0.25">
      <c r="B21" s="762" t="s">
        <v>144</v>
      </c>
      <c r="C21" s="763" t="s">
        <v>145</v>
      </c>
      <c r="D21" s="763"/>
      <c r="E21" s="535">
        <v>21.4</v>
      </c>
      <c r="F21" s="535">
        <v>20.901916666666668</v>
      </c>
      <c r="G21" s="756"/>
    </row>
    <row r="22" spans="2:7" ht="15.75" x14ac:dyDescent="0.25">
      <c r="B22" s="762" t="s">
        <v>146</v>
      </c>
      <c r="C22" s="763" t="s">
        <v>293</v>
      </c>
      <c r="D22" s="763"/>
      <c r="E22" s="535">
        <f>E20/E21</f>
        <v>1.014018691588785</v>
      </c>
      <c r="F22" s="535">
        <v>0.86116504467293664</v>
      </c>
      <c r="G22" s="756"/>
    </row>
    <row r="23" spans="2:7" ht="16.5" x14ac:dyDescent="0.3">
      <c r="B23" s="412"/>
      <c r="C23" s="735" t="s">
        <v>147</v>
      </c>
      <c r="D23" s="413"/>
      <c r="E23" s="414">
        <f>0.75*E18+0.25*E22</f>
        <v>1.6687220642015439</v>
      </c>
      <c r="F23" s="414">
        <v>1.5776630903877713</v>
      </c>
      <c r="G23" s="759"/>
    </row>
    <row r="24" spans="2:7" ht="15.75" x14ac:dyDescent="0.25">
      <c r="B24" s="762">
        <v>8</v>
      </c>
      <c r="C24" s="763" t="s">
        <v>148</v>
      </c>
      <c r="D24" s="763"/>
      <c r="E24" s="535"/>
      <c r="F24" s="535">
        <v>0</v>
      </c>
      <c r="G24" s="756"/>
    </row>
    <row r="25" spans="2:7" ht="15.75" x14ac:dyDescent="0.25">
      <c r="B25" s="764" t="s">
        <v>149</v>
      </c>
      <c r="C25" s="765" t="s">
        <v>150</v>
      </c>
      <c r="D25" s="763"/>
      <c r="E25" s="535"/>
      <c r="F25" s="535">
        <v>0</v>
      </c>
      <c r="G25" s="756"/>
    </row>
    <row r="26" spans="2:7" ht="16.5" thickBot="1" x14ac:dyDescent="0.3">
      <c r="B26" s="766" t="s">
        <v>151</v>
      </c>
      <c r="C26" s="767" t="s">
        <v>152</v>
      </c>
      <c r="D26" s="768"/>
      <c r="E26" s="769">
        <v>0</v>
      </c>
      <c r="F26" s="769">
        <v>0</v>
      </c>
      <c r="G26" s="770"/>
    </row>
    <row r="31" spans="2:7" ht="16.5" x14ac:dyDescent="0.3">
      <c r="B31" s="934" t="s">
        <v>723</v>
      </c>
      <c r="C31" s="935"/>
      <c r="D31" s="521"/>
      <c r="G31" s="936" t="s">
        <v>724</v>
      </c>
    </row>
    <row r="32" spans="2:7" ht="16.5" x14ac:dyDescent="0.3">
      <c r="B32" s="934" t="s">
        <v>725</v>
      </c>
      <c r="C32" s="935"/>
      <c r="D32" s="521"/>
      <c r="G32" s="937" t="s">
        <v>726</v>
      </c>
    </row>
    <row r="33" spans="2:7" ht="16.5" x14ac:dyDescent="0.3">
      <c r="B33" s="7"/>
      <c r="C33" s="7"/>
      <c r="D33" s="521"/>
    </row>
    <row r="34" spans="2:7" ht="16.5" x14ac:dyDescent="0.3">
      <c r="B34" s="7"/>
      <c r="C34" s="7"/>
      <c r="D34" s="521"/>
      <c r="E34" s="59"/>
    </row>
    <row r="35" spans="2:7" ht="16.5" x14ac:dyDescent="0.3">
      <c r="B35" s="7"/>
      <c r="C35" s="7"/>
      <c r="D35" s="521"/>
      <c r="E35" s="59"/>
    </row>
    <row r="36" spans="2:7" ht="16.5" x14ac:dyDescent="0.3">
      <c r="B36" s="7"/>
      <c r="C36" s="7"/>
      <c r="D36" s="521"/>
      <c r="E36" s="59"/>
    </row>
    <row r="37" spans="2:7" ht="16.5" x14ac:dyDescent="0.3">
      <c r="B37" s="946" t="s">
        <v>731</v>
      </c>
      <c r="C37" s="939"/>
      <c r="D37" s="521"/>
      <c r="E37" s="59"/>
      <c r="G37" s="941" t="s">
        <v>728</v>
      </c>
    </row>
    <row r="38" spans="2:7" ht="16.5" x14ac:dyDescent="0.3">
      <c r="B38" s="946" t="s">
        <v>732</v>
      </c>
      <c r="C38" s="942"/>
      <c r="D38" s="521"/>
      <c r="E38" s="59"/>
      <c r="G38" s="941" t="s">
        <v>730</v>
      </c>
    </row>
  </sheetData>
  <mergeCells count="3">
    <mergeCell ref="B2:G2"/>
    <mergeCell ref="B3:G3"/>
    <mergeCell ref="B4:G4"/>
  </mergeCells>
  <pageMargins left="0.7" right="0.7" top="0.75" bottom="0.75" header="0.3" footer="0.3"/>
  <pageSetup paperSize="9" scale="85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B1:I41"/>
  <sheetViews>
    <sheetView topLeftCell="A5" zoomScaleNormal="100" workbookViewId="0">
      <selection activeCell="F14" sqref="F14"/>
    </sheetView>
  </sheetViews>
  <sheetFormatPr defaultRowHeight="15" x14ac:dyDescent="0.25"/>
  <cols>
    <col min="2" max="2" width="9.28515625" bestFit="1" customWidth="1"/>
    <col min="3" max="3" width="56.140625" bestFit="1" customWidth="1"/>
    <col min="4" max="4" width="5.28515625" bestFit="1" customWidth="1"/>
    <col min="5" max="5" width="10.42578125" bestFit="1" customWidth="1"/>
    <col min="6" max="6" width="11.5703125" customWidth="1"/>
    <col min="7" max="7" width="11.140625" bestFit="1" customWidth="1"/>
    <col min="10" max="10" width="27.28515625" customWidth="1"/>
  </cols>
  <sheetData>
    <row r="1" spans="2:9" ht="15.75" thickBot="1" x14ac:dyDescent="0.3"/>
    <row r="2" spans="2:9" ht="17.25" thickBot="1" x14ac:dyDescent="0.35">
      <c r="B2" s="980" t="s">
        <v>443</v>
      </c>
      <c r="C2" s="981"/>
      <c r="D2" s="981"/>
      <c r="E2" s="981"/>
      <c r="F2" s="981"/>
      <c r="G2" s="982"/>
    </row>
    <row r="3" spans="2:9" ht="16.5" thickBot="1" x14ac:dyDescent="0.3">
      <c r="B3" s="983" t="s">
        <v>360</v>
      </c>
      <c r="C3" s="984"/>
      <c r="D3" s="984"/>
      <c r="E3" s="984"/>
      <c r="F3" s="984"/>
      <c r="G3" s="985"/>
    </row>
    <row r="4" spans="2:9" ht="17.25" thickBot="1" x14ac:dyDescent="0.35">
      <c r="B4" s="986" t="s">
        <v>688</v>
      </c>
      <c r="C4" s="987"/>
      <c r="D4" s="987"/>
      <c r="E4" s="987"/>
      <c r="F4" s="987"/>
      <c r="G4" s="988"/>
    </row>
    <row r="5" spans="2:9" ht="16.5" x14ac:dyDescent="0.25">
      <c r="B5" s="989" t="s">
        <v>0</v>
      </c>
      <c r="C5" s="991" t="s">
        <v>1</v>
      </c>
      <c r="D5" s="993" t="s">
        <v>100</v>
      </c>
      <c r="E5" s="272" t="s">
        <v>402</v>
      </c>
      <c r="F5" s="272" t="s">
        <v>402</v>
      </c>
      <c r="G5" s="273" t="s">
        <v>392</v>
      </c>
    </row>
    <row r="6" spans="2:9" ht="33" x14ac:dyDescent="0.25">
      <c r="B6" s="990"/>
      <c r="C6" s="992"/>
      <c r="D6" s="992"/>
      <c r="E6" s="274" t="s">
        <v>3</v>
      </c>
      <c r="F6" s="275" t="s">
        <v>687</v>
      </c>
      <c r="G6" s="276" t="s">
        <v>3</v>
      </c>
    </row>
    <row r="7" spans="2:9" ht="17.25" thickBot="1" x14ac:dyDescent="0.3">
      <c r="B7" s="277">
        <v>1</v>
      </c>
      <c r="C7" s="278">
        <v>2</v>
      </c>
      <c r="D7" s="278">
        <v>3</v>
      </c>
      <c r="E7" s="279">
        <v>4</v>
      </c>
      <c r="F7" s="278">
        <v>5</v>
      </c>
      <c r="G7" s="280">
        <v>6</v>
      </c>
    </row>
    <row r="8" spans="2:9" ht="15.75" x14ac:dyDescent="0.25">
      <c r="B8" s="281">
        <v>1</v>
      </c>
      <c r="C8" s="282" t="s">
        <v>4</v>
      </c>
      <c r="D8" s="283">
        <v>3.1</v>
      </c>
      <c r="E8" s="310">
        <f>'D31-FY17-PPURCHASE'!$K$14</f>
        <v>5257.9382894999999</v>
      </c>
      <c r="F8" s="311">
        <v>5419.14</v>
      </c>
      <c r="G8" s="312">
        <v>4975.5200000000004</v>
      </c>
    </row>
    <row r="9" spans="2:9" ht="15.75" x14ac:dyDescent="0.25">
      <c r="B9" s="284">
        <v>2</v>
      </c>
      <c r="C9" s="285" t="s">
        <v>5</v>
      </c>
      <c r="D9" s="286">
        <v>3.4</v>
      </c>
      <c r="E9" s="313">
        <f>SUM(E10:E12)</f>
        <v>596.88678030000005</v>
      </c>
      <c r="F9" s="313">
        <f>SUM(F10:F12)</f>
        <v>189.48</v>
      </c>
      <c r="G9" s="916">
        <f>SUM(G10:G12)</f>
        <v>576.16711448571425</v>
      </c>
    </row>
    <row r="10" spans="2:9" ht="15.75" x14ac:dyDescent="0.25">
      <c r="B10" s="287">
        <v>2.1</v>
      </c>
      <c r="C10" s="288" t="s">
        <v>6</v>
      </c>
      <c r="D10" s="289">
        <v>3.4</v>
      </c>
      <c r="E10" s="315">
        <f>'D34 FY18 O&amp;M'!D7</f>
        <v>21.808857599999996</v>
      </c>
      <c r="F10" s="316">
        <v>22.21</v>
      </c>
      <c r="G10" s="317">
        <v>18.140314485714285</v>
      </c>
      <c r="I10" s="55"/>
    </row>
    <row r="11" spans="2:9" ht="15.75" x14ac:dyDescent="0.25">
      <c r="B11" s="287">
        <v>2.2999999999999998</v>
      </c>
      <c r="C11" s="288" t="s">
        <v>7</v>
      </c>
      <c r="D11" s="289">
        <v>3.4</v>
      </c>
      <c r="E11" s="315">
        <f>'D34 FY18 O&amp;M'!D9</f>
        <v>194.80755009999999</v>
      </c>
      <c r="F11" s="318">
        <v>54.64</v>
      </c>
      <c r="G11" s="317">
        <v>227.33476999999999</v>
      </c>
      <c r="I11" s="55"/>
    </row>
    <row r="12" spans="2:9" ht="15.75" x14ac:dyDescent="0.25">
      <c r="B12" s="287">
        <v>2.4</v>
      </c>
      <c r="C12" s="288" t="s">
        <v>8</v>
      </c>
      <c r="D12" s="289">
        <v>3.4</v>
      </c>
      <c r="E12" s="315">
        <f>'D34 FY18 O&amp;M'!D8</f>
        <v>380.27037260000003</v>
      </c>
      <c r="F12" s="316">
        <v>112.63</v>
      </c>
      <c r="G12" s="317">
        <v>330.69202999999999</v>
      </c>
      <c r="I12" s="55"/>
    </row>
    <row r="13" spans="2:9" ht="15.75" x14ac:dyDescent="0.25">
      <c r="B13" s="284">
        <v>3</v>
      </c>
      <c r="C13" s="290" t="s">
        <v>9</v>
      </c>
      <c r="D13" s="286">
        <v>3.5</v>
      </c>
      <c r="E13" s="313">
        <f>+'D35 FY18 DEPR'!G31/100000</f>
        <v>299.86310452730442</v>
      </c>
      <c r="F13" s="241">
        <v>121.92</v>
      </c>
      <c r="G13" s="314">
        <v>280.99887839930437</v>
      </c>
    </row>
    <row r="14" spans="2:9" ht="15.75" x14ac:dyDescent="0.25">
      <c r="B14" s="284">
        <v>4</v>
      </c>
      <c r="C14" s="291" t="s">
        <v>10</v>
      </c>
      <c r="D14" s="286">
        <v>3.6</v>
      </c>
      <c r="E14" s="313">
        <f>+'D36 FY18 I&amp;F'!C37</f>
        <v>121.84680659</v>
      </c>
      <c r="F14" s="319">
        <v>92.84</v>
      </c>
      <c r="G14" s="314">
        <v>146.13659981800001</v>
      </c>
    </row>
    <row r="15" spans="2:9" ht="15.75" x14ac:dyDescent="0.25">
      <c r="B15" s="284">
        <v>5</v>
      </c>
      <c r="C15" s="292" t="s">
        <v>11</v>
      </c>
      <c r="D15" s="286">
        <v>3.7</v>
      </c>
      <c r="E15" s="313">
        <v>0</v>
      </c>
      <c r="F15" s="320">
        <v>0</v>
      </c>
      <c r="G15" s="321">
        <v>0</v>
      </c>
    </row>
    <row r="16" spans="2:9" ht="16.5" thickBot="1" x14ac:dyDescent="0.3">
      <c r="B16" s="293">
        <v>6</v>
      </c>
      <c r="C16" s="294" t="s">
        <v>441</v>
      </c>
      <c r="D16" s="295"/>
      <c r="E16" s="322">
        <v>77.75</v>
      </c>
      <c r="F16" s="323">
        <v>0</v>
      </c>
      <c r="G16" s="324">
        <v>70.418719999999993</v>
      </c>
    </row>
    <row r="17" spans="2:7" ht="17.25" thickBot="1" x14ac:dyDescent="0.3">
      <c r="B17" s="296">
        <v>7</v>
      </c>
      <c r="C17" s="297" t="s">
        <v>12</v>
      </c>
      <c r="D17" s="298"/>
      <c r="E17" s="326">
        <f>E8+E9+E13+E14+E15+E16</f>
        <v>6354.284980917304</v>
      </c>
      <c r="F17" s="326">
        <f>F8+F9+F13+F14+F15+F16</f>
        <v>5823.38</v>
      </c>
      <c r="G17" s="917">
        <f>G8+G9+G13+G14+G15+G16</f>
        <v>6049.2413127030186</v>
      </c>
    </row>
    <row r="18" spans="2:7" ht="15.75" x14ac:dyDescent="0.25">
      <c r="B18" s="299">
        <v>8</v>
      </c>
      <c r="C18" s="300" t="s">
        <v>13</v>
      </c>
      <c r="D18" s="301">
        <v>3.8</v>
      </c>
      <c r="E18" s="327">
        <f>+'D38 FY18 ROI'!E10</f>
        <v>123.04843090166088</v>
      </c>
      <c r="F18" s="328">
        <v>32.46</v>
      </c>
      <c r="G18" s="329">
        <v>120.76008695364</v>
      </c>
    </row>
    <row r="19" spans="2:7" ht="16.5" thickBot="1" x14ac:dyDescent="0.3">
      <c r="B19" s="293">
        <v>9</v>
      </c>
      <c r="C19" s="294" t="s">
        <v>14</v>
      </c>
      <c r="D19" s="302">
        <v>0</v>
      </c>
      <c r="E19" s="322">
        <v>0</v>
      </c>
      <c r="F19" s="330">
        <v>0</v>
      </c>
      <c r="G19" s="331">
        <v>0</v>
      </c>
    </row>
    <row r="20" spans="2:7" ht="17.25" thickBot="1" x14ac:dyDescent="0.3">
      <c r="B20" s="296">
        <v>10</v>
      </c>
      <c r="C20" s="297" t="s">
        <v>15</v>
      </c>
      <c r="D20" s="303"/>
      <c r="E20" s="325">
        <f>E17+E18+E19</f>
        <v>6477.333411818965</v>
      </c>
      <c r="F20" s="325">
        <f>F17+F18+F19</f>
        <v>5855.84</v>
      </c>
      <c r="G20" s="918">
        <f>G17+G18+G19</f>
        <v>6170.0013996566586</v>
      </c>
    </row>
    <row r="21" spans="2:7" ht="16.5" thickBot="1" x14ac:dyDescent="0.3">
      <c r="B21" s="304">
        <v>11</v>
      </c>
      <c r="C21" s="305" t="s">
        <v>16</v>
      </c>
      <c r="D21" s="306">
        <v>2.4</v>
      </c>
      <c r="E21" s="332">
        <f>'D24- NTI'!$D$15</f>
        <v>97.358655683184992</v>
      </c>
      <c r="F21" s="332">
        <v>46.48</v>
      </c>
      <c r="G21" s="333">
        <v>70.675145000000001</v>
      </c>
    </row>
    <row r="22" spans="2:7" ht="17.25" thickBot="1" x14ac:dyDescent="0.3">
      <c r="B22" s="296">
        <v>12</v>
      </c>
      <c r="C22" s="297" t="s">
        <v>17</v>
      </c>
      <c r="D22" s="303"/>
      <c r="E22" s="326">
        <f>E20-E21</f>
        <v>6379.9747561357799</v>
      </c>
      <c r="F22" s="326">
        <f>F20-F21</f>
        <v>5809.3600000000006</v>
      </c>
      <c r="G22" s="917">
        <f>G20-G21</f>
        <v>6099.3262546566584</v>
      </c>
    </row>
    <row r="23" spans="2:7" ht="15.75" x14ac:dyDescent="0.25">
      <c r="B23" s="299">
        <v>13</v>
      </c>
      <c r="C23" s="203" t="s">
        <v>499</v>
      </c>
      <c r="D23" s="307">
        <v>2.1</v>
      </c>
      <c r="E23" s="240">
        <f>'D21-ERC-FY18'!Q31/10^5</f>
        <v>6208.2847190455905</v>
      </c>
      <c r="F23" s="334">
        <v>6128.22</v>
      </c>
      <c r="G23" s="260">
        <v>5957.6371421479344</v>
      </c>
    </row>
    <row r="24" spans="2:7" ht="17.25" thickBot="1" x14ac:dyDescent="0.35">
      <c r="B24" s="308">
        <v>14</v>
      </c>
      <c r="C24" s="309" t="s">
        <v>442</v>
      </c>
      <c r="D24" s="309"/>
      <c r="E24" s="335">
        <f>E23-E22</f>
        <v>-171.69003709018943</v>
      </c>
      <c r="F24" s="335">
        <f>F23-F22</f>
        <v>318.85999999999967</v>
      </c>
      <c r="G24" s="640">
        <f>G23-G22</f>
        <v>-141.68911250872407</v>
      </c>
    </row>
    <row r="29" spans="2:7" ht="16.5" x14ac:dyDescent="0.3">
      <c r="B29" s="950" t="s">
        <v>723</v>
      </c>
      <c r="C29" s="951"/>
      <c r="D29" s="951"/>
      <c r="E29" s="952"/>
      <c r="F29" s="952"/>
      <c r="G29" s="953" t="s">
        <v>724</v>
      </c>
    </row>
    <row r="30" spans="2:7" ht="16.5" x14ac:dyDescent="0.3">
      <c r="B30" s="950" t="s">
        <v>725</v>
      </c>
      <c r="C30" s="951"/>
      <c r="D30" s="951"/>
      <c r="E30" s="952"/>
      <c r="F30" s="952"/>
      <c r="G30" s="954" t="s">
        <v>726</v>
      </c>
    </row>
    <row r="31" spans="2:7" ht="15.75" x14ac:dyDescent="0.25">
      <c r="B31" s="952"/>
      <c r="C31" s="952"/>
      <c r="D31" s="952"/>
      <c r="E31" s="952"/>
      <c r="F31" s="955"/>
      <c r="G31" s="952"/>
    </row>
    <row r="32" spans="2:7" ht="15.75" x14ac:dyDescent="0.25">
      <c r="B32" s="952"/>
      <c r="C32" s="952"/>
      <c r="D32" s="952"/>
      <c r="E32" s="952"/>
      <c r="F32" s="955"/>
      <c r="G32" s="952"/>
    </row>
    <row r="33" spans="2:7" ht="15.75" x14ac:dyDescent="0.25">
      <c r="B33" s="952"/>
      <c r="C33" s="952"/>
      <c r="D33" s="952"/>
      <c r="E33" s="952"/>
      <c r="F33" s="955"/>
      <c r="G33" s="952"/>
    </row>
    <row r="34" spans="2:7" ht="15.75" x14ac:dyDescent="0.25">
      <c r="B34" s="952"/>
      <c r="C34" s="952"/>
      <c r="D34" s="952"/>
      <c r="E34" s="952"/>
      <c r="F34" s="952"/>
      <c r="G34" s="952"/>
    </row>
    <row r="35" spans="2:7" ht="16.5" x14ac:dyDescent="0.3">
      <c r="B35" s="956" t="s">
        <v>727</v>
      </c>
      <c r="C35" s="956"/>
      <c r="D35" s="957"/>
      <c r="E35" s="952"/>
      <c r="F35" s="952"/>
      <c r="G35" s="958" t="s">
        <v>728</v>
      </c>
    </row>
    <row r="36" spans="2:7" ht="16.5" x14ac:dyDescent="0.3">
      <c r="B36" s="959" t="s">
        <v>729</v>
      </c>
      <c r="C36" s="959"/>
      <c r="D36" s="957"/>
      <c r="E36" s="952"/>
      <c r="F36" s="960"/>
      <c r="G36" s="958" t="s">
        <v>730</v>
      </c>
    </row>
    <row r="37" spans="2:7" ht="15.75" x14ac:dyDescent="0.25">
      <c r="B37" s="961"/>
      <c r="C37" s="961"/>
      <c r="D37" s="961"/>
      <c r="E37" s="961"/>
      <c r="F37" s="952"/>
      <c r="G37" s="952"/>
    </row>
    <row r="38" spans="2:7" ht="15.75" x14ac:dyDescent="0.25">
      <c r="B38" s="961"/>
      <c r="C38" s="961"/>
      <c r="D38" s="961"/>
      <c r="E38" s="952"/>
      <c r="F38" s="958"/>
      <c r="G38" s="952"/>
    </row>
    <row r="39" spans="2:7" ht="16.5" x14ac:dyDescent="0.3">
      <c r="B39" s="952"/>
      <c r="C39" s="961"/>
      <c r="D39" s="961"/>
      <c r="E39" s="952"/>
      <c r="F39" s="962"/>
      <c r="G39" s="952"/>
    </row>
    <row r="40" spans="2:7" ht="16.5" x14ac:dyDescent="0.3">
      <c r="B40" s="963" t="s">
        <v>731</v>
      </c>
      <c r="C40" s="961"/>
      <c r="D40" s="961"/>
      <c r="E40" s="14"/>
      <c r="F40" s="962"/>
      <c r="G40" s="952"/>
    </row>
    <row r="41" spans="2:7" ht="15.75" x14ac:dyDescent="0.25">
      <c r="B41" s="963" t="s">
        <v>732</v>
      </c>
      <c r="C41" s="964"/>
      <c r="D41" s="964"/>
      <c r="E41" s="964"/>
      <c r="F41" s="965"/>
      <c r="G41" s="952"/>
    </row>
  </sheetData>
  <mergeCells count="6">
    <mergeCell ref="B2:G2"/>
    <mergeCell ref="B3:G3"/>
    <mergeCell ref="B4:G4"/>
    <mergeCell ref="B5:B6"/>
    <mergeCell ref="C5:C6"/>
    <mergeCell ref="D5:D6"/>
  </mergeCells>
  <printOptions horizontalCentered="1" verticalCentered="1"/>
  <pageMargins left="0.5" right="0.25" top="0.75" bottom="0.75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0000"/>
    <pageSetUpPr fitToPage="1"/>
  </sheetPr>
  <dimension ref="B1:Q43"/>
  <sheetViews>
    <sheetView topLeftCell="A28" zoomScale="85" zoomScaleNormal="85" workbookViewId="0">
      <selection activeCell="B2" sqref="B2:P43"/>
    </sheetView>
  </sheetViews>
  <sheetFormatPr defaultRowHeight="14.25" x14ac:dyDescent="0.2"/>
  <cols>
    <col min="1" max="1" width="9.140625" style="150"/>
    <col min="2" max="2" width="9.28515625" style="150" bestFit="1" customWidth="1"/>
    <col min="3" max="3" width="52.42578125" style="150" bestFit="1" customWidth="1"/>
    <col min="4" max="4" width="10.7109375" style="150" bestFit="1" customWidth="1"/>
    <col min="5" max="15" width="10.28515625" style="150" bestFit="1" customWidth="1"/>
    <col min="16" max="16" width="11.5703125" style="150" bestFit="1" customWidth="1"/>
    <col min="17" max="17" width="10.140625" style="150" bestFit="1" customWidth="1"/>
    <col min="18" max="16384" width="9.140625" style="150"/>
  </cols>
  <sheetData>
    <row r="1" spans="2:17" ht="15" thickBot="1" x14ac:dyDescent="0.25"/>
    <row r="2" spans="2:17" ht="17.25" thickBot="1" x14ac:dyDescent="0.25">
      <c r="B2" s="1181" t="s">
        <v>638</v>
      </c>
      <c r="C2" s="1182"/>
      <c r="D2" s="1182"/>
      <c r="E2" s="1182"/>
      <c r="F2" s="1182"/>
      <c r="G2" s="1182"/>
      <c r="H2" s="1182"/>
      <c r="I2" s="1182"/>
      <c r="J2" s="1182"/>
      <c r="K2" s="1182"/>
      <c r="L2" s="1182"/>
      <c r="M2" s="1182"/>
      <c r="N2" s="1182"/>
      <c r="O2" s="1182"/>
      <c r="P2" s="1183"/>
    </row>
    <row r="3" spans="2:17" ht="16.5" customHeight="1" thickBot="1" x14ac:dyDescent="0.3">
      <c r="B3" s="1027" t="s">
        <v>621</v>
      </c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8"/>
      <c r="N3" s="1028"/>
      <c r="O3" s="1028"/>
      <c r="P3" s="1029"/>
    </row>
    <row r="4" spans="2:17" ht="16.5" x14ac:dyDescent="0.3">
      <c r="B4" s="1184" t="s">
        <v>642</v>
      </c>
      <c r="C4" s="1185"/>
      <c r="D4" s="1185"/>
      <c r="E4" s="1185"/>
      <c r="F4" s="1185"/>
      <c r="G4" s="1185"/>
      <c r="H4" s="1185"/>
      <c r="I4" s="1185"/>
      <c r="J4" s="1185"/>
      <c r="K4" s="1185"/>
      <c r="L4" s="1185"/>
      <c r="M4" s="1185"/>
      <c r="N4" s="1185"/>
      <c r="O4" s="771"/>
      <c r="P4" s="772" t="s">
        <v>294</v>
      </c>
    </row>
    <row r="5" spans="2:17" ht="16.5" x14ac:dyDescent="0.2">
      <c r="B5" s="773" t="s">
        <v>27</v>
      </c>
      <c r="C5" s="774" t="s">
        <v>157</v>
      </c>
      <c r="D5" s="774" t="s">
        <v>158</v>
      </c>
      <c r="E5" s="774" t="s">
        <v>159</v>
      </c>
      <c r="F5" s="774" t="s">
        <v>160</v>
      </c>
      <c r="G5" s="775" t="s">
        <v>161</v>
      </c>
      <c r="H5" s="775" t="s">
        <v>162</v>
      </c>
      <c r="I5" s="775" t="s">
        <v>163</v>
      </c>
      <c r="J5" s="775" t="s">
        <v>164</v>
      </c>
      <c r="K5" s="775" t="s">
        <v>165</v>
      </c>
      <c r="L5" s="775" t="s">
        <v>166</v>
      </c>
      <c r="M5" s="775" t="s">
        <v>167</v>
      </c>
      <c r="N5" s="775" t="s">
        <v>168</v>
      </c>
      <c r="O5" s="775" t="s">
        <v>169</v>
      </c>
      <c r="P5" s="776" t="s">
        <v>22</v>
      </c>
    </row>
    <row r="6" spans="2:17" ht="16.5" x14ac:dyDescent="0.2">
      <c r="B6" s="777">
        <v>1</v>
      </c>
      <c r="C6" s="778">
        <v>2</v>
      </c>
      <c r="D6" s="778">
        <v>3</v>
      </c>
      <c r="E6" s="778">
        <v>4</v>
      </c>
      <c r="F6" s="778">
        <v>5</v>
      </c>
      <c r="G6" s="778">
        <v>6</v>
      </c>
      <c r="H6" s="778">
        <v>7</v>
      </c>
      <c r="I6" s="778">
        <v>8</v>
      </c>
      <c r="J6" s="778">
        <v>9</v>
      </c>
      <c r="K6" s="778">
        <v>10</v>
      </c>
      <c r="L6" s="778">
        <v>11</v>
      </c>
      <c r="M6" s="778">
        <v>12</v>
      </c>
      <c r="N6" s="778">
        <v>13</v>
      </c>
      <c r="O6" s="778">
        <v>14</v>
      </c>
      <c r="P6" s="779">
        <v>15</v>
      </c>
    </row>
    <row r="7" spans="2:17" ht="16.5" x14ac:dyDescent="0.3">
      <c r="B7" s="780">
        <v>1</v>
      </c>
      <c r="C7" s="905" t="s">
        <v>314</v>
      </c>
      <c r="D7" s="782">
        <v>2752097</v>
      </c>
      <c r="E7" s="782">
        <v>2841028</v>
      </c>
      <c r="F7" s="782">
        <v>2606898</v>
      </c>
      <c r="G7" s="782">
        <v>2734585</v>
      </c>
      <c r="H7" s="782">
        <v>2684663</v>
      </c>
      <c r="I7" s="782">
        <v>2451544</v>
      </c>
      <c r="J7" s="782">
        <v>2563367</v>
      </c>
      <c r="K7" s="782">
        <v>2579825.3400000008</v>
      </c>
      <c r="L7" s="782">
        <v>2535155</v>
      </c>
      <c r="M7" s="782">
        <v>2612712</v>
      </c>
      <c r="N7" s="782">
        <v>2469081.2499999995</v>
      </c>
      <c r="O7" s="782">
        <v>2708122.379999999</v>
      </c>
      <c r="P7" s="783">
        <f t="shared" ref="P7:P24" si="0">SUM(D7:O7)</f>
        <v>31539077.969999999</v>
      </c>
    </row>
    <row r="8" spans="2:17" ht="16.5" x14ac:dyDescent="0.3">
      <c r="B8" s="780">
        <v>2</v>
      </c>
      <c r="C8" s="905" t="s">
        <v>315</v>
      </c>
      <c r="D8" s="782">
        <v>15288</v>
      </c>
      <c r="E8" s="782">
        <v>15754</v>
      </c>
      <c r="F8" s="782">
        <v>12783.4</v>
      </c>
      <c r="G8" s="782">
        <v>12382.02</v>
      </c>
      <c r="H8" s="782">
        <v>12765.9</v>
      </c>
      <c r="I8" s="782">
        <v>11115.79</v>
      </c>
      <c r="J8" s="782">
        <v>12899.31</v>
      </c>
      <c r="K8" s="782">
        <v>12074.150000000003</v>
      </c>
      <c r="L8" s="782">
        <v>11433.639999999998</v>
      </c>
      <c r="M8" s="782">
        <v>13590.489999999998</v>
      </c>
      <c r="N8" s="782">
        <v>14268.360000000004</v>
      </c>
      <c r="O8" s="782">
        <v>16514.409999999996</v>
      </c>
      <c r="P8" s="783">
        <f t="shared" si="0"/>
        <v>160869.47</v>
      </c>
    </row>
    <row r="9" spans="2:17" ht="16.5" x14ac:dyDescent="0.3">
      <c r="B9" s="780">
        <v>3</v>
      </c>
      <c r="C9" s="905" t="s">
        <v>316</v>
      </c>
      <c r="D9" s="782">
        <v>90808</v>
      </c>
      <c r="E9" s="782">
        <v>96635</v>
      </c>
      <c r="F9" s="782">
        <v>86649</v>
      </c>
      <c r="G9" s="782">
        <v>88445.49</v>
      </c>
      <c r="H9" s="782">
        <v>85079.9</v>
      </c>
      <c r="I9" s="782">
        <v>74859</v>
      </c>
      <c r="J9" s="782">
        <v>87134.739999999991</v>
      </c>
      <c r="K9" s="782">
        <v>84852.540000000037</v>
      </c>
      <c r="L9" s="782">
        <v>80315.259999999995</v>
      </c>
      <c r="M9" s="782">
        <v>84272.45</v>
      </c>
      <c r="N9" s="782">
        <v>82410.77</v>
      </c>
      <c r="O9" s="782">
        <v>91947.779999999984</v>
      </c>
      <c r="P9" s="783">
        <f t="shared" si="0"/>
        <v>1033409.93</v>
      </c>
    </row>
    <row r="10" spans="2:17" ht="16.5" x14ac:dyDescent="0.3">
      <c r="B10" s="780">
        <v>4</v>
      </c>
      <c r="C10" s="905" t="s">
        <v>317</v>
      </c>
      <c r="D10" s="782">
        <v>142338.22999999998</v>
      </c>
      <c r="E10" s="782">
        <v>147488</v>
      </c>
      <c r="F10" s="782">
        <v>133385</v>
      </c>
      <c r="G10" s="782">
        <v>105625</v>
      </c>
      <c r="H10" s="782">
        <v>88123</v>
      </c>
      <c r="I10" s="782">
        <v>86279</v>
      </c>
      <c r="J10" s="782">
        <v>57728</v>
      </c>
      <c r="K10" s="782">
        <v>49544</v>
      </c>
      <c r="L10" s="782">
        <v>38054</v>
      </c>
      <c r="M10" s="782">
        <v>37987.229999999996</v>
      </c>
      <c r="N10" s="782">
        <v>38180</v>
      </c>
      <c r="O10" s="782">
        <v>44302</v>
      </c>
      <c r="P10" s="783">
        <f t="shared" si="0"/>
        <v>969033.46</v>
      </c>
    </row>
    <row r="11" spans="2:17" ht="16.5" x14ac:dyDescent="0.3">
      <c r="B11" s="780">
        <v>5</v>
      </c>
      <c r="C11" s="905" t="s">
        <v>318</v>
      </c>
      <c r="D11" s="782">
        <v>1728</v>
      </c>
      <c r="E11" s="782">
        <v>1914</v>
      </c>
      <c r="F11" s="782">
        <v>1591</v>
      </c>
      <c r="G11" s="782">
        <v>1527</v>
      </c>
      <c r="H11" s="782">
        <v>1301</v>
      </c>
      <c r="I11" s="782">
        <v>1208</v>
      </c>
      <c r="J11" s="782">
        <v>1281</v>
      </c>
      <c r="K11" s="782">
        <v>1319</v>
      </c>
      <c r="L11" s="782">
        <v>1327</v>
      </c>
      <c r="M11" s="782">
        <v>1333</v>
      </c>
      <c r="N11" s="782">
        <v>1262</v>
      </c>
      <c r="O11" s="782">
        <v>1559</v>
      </c>
      <c r="P11" s="783">
        <f t="shared" si="0"/>
        <v>17350</v>
      </c>
    </row>
    <row r="12" spans="2:17" ht="16.5" x14ac:dyDescent="0.3">
      <c r="B12" s="904">
        <v>6</v>
      </c>
      <c r="C12" s="905" t="s">
        <v>319</v>
      </c>
      <c r="D12" s="782">
        <v>12306.41</v>
      </c>
      <c r="E12" s="782">
        <v>12150</v>
      </c>
      <c r="F12" s="782">
        <v>7038</v>
      </c>
      <c r="G12" s="782">
        <v>7444</v>
      </c>
      <c r="H12" s="782">
        <v>7059</v>
      </c>
      <c r="I12" s="782">
        <v>6222</v>
      </c>
      <c r="J12" s="782">
        <v>8510</v>
      </c>
      <c r="K12" s="782">
        <v>10417</v>
      </c>
      <c r="L12" s="782">
        <v>10678</v>
      </c>
      <c r="M12" s="782">
        <v>11715</v>
      </c>
      <c r="N12" s="782">
        <v>11448</v>
      </c>
      <c r="O12" s="782">
        <v>12749</v>
      </c>
      <c r="P12" s="897">
        <f t="shared" si="0"/>
        <v>117736.41</v>
      </c>
    </row>
    <row r="13" spans="2:17" ht="16.5" x14ac:dyDescent="0.3">
      <c r="B13" s="904">
        <v>7</v>
      </c>
      <c r="C13" s="905" t="s">
        <v>320</v>
      </c>
      <c r="D13" s="782">
        <v>25632</v>
      </c>
      <c r="E13" s="782">
        <v>25563</v>
      </c>
      <c r="F13" s="782">
        <v>22386</v>
      </c>
      <c r="G13" s="782">
        <v>25068</v>
      </c>
      <c r="H13" s="782">
        <v>24140</v>
      </c>
      <c r="I13" s="782">
        <v>22148</v>
      </c>
      <c r="J13" s="782">
        <v>24353.800000000003</v>
      </c>
      <c r="K13" s="782">
        <v>24409.8</v>
      </c>
      <c r="L13" s="782">
        <v>23648.399999999998</v>
      </c>
      <c r="M13" s="782">
        <v>21977.9</v>
      </c>
      <c r="N13" s="782">
        <v>21950.1</v>
      </c>
      <c r="O13" s="782">
        <v>26142</v>
      </c>
      <c r="P13" s="897">
        <f t="shared" si="0"/>
        <v>287419</v>
      </c>
      <c r="Q13" s="152"/>
    </row>
    <row r="14" spans="2:17" ht="16.5" x14ac:dyDescent="0.3">
      <c r="B14" s="780">
        <v>8</v>
      </c>
      <c r="C14" s="905" t="s">
        <v>321</v>
      </c>
      <c r="D14" s="782">
        <v>4089</v>
      </c>
      <c r="E14" s="782">
        <v>3534</v>
      </c>
      <c r="F14" s="782">
        <v>3763</v>
      </c>
      <c r="G14" s="782">
        <v>3984</v>
      </c>
      <c r="H14" s="782">
        <v>4122.28</v>
      </c>
      <c r="I14" s="782">
        <v>4033.58</v>
      </c>
      <c r="J14" s="782">
        <v>4460.32</v>
      </c>
      <c r="K14" s="782">
        <v>4339.300000000002</v>
      </c>
      <c r="L14" s="782">
        <v>4676.2999999999975</v>
      </c>
      <c r="M14" s="782">
        <v>3980.8499999999995</v>
      </c>
      <c r="N14" s="782">
        <v>3242.1499999999992</v>
      </c>
      <c r="O14" s="782">
        <v>3682.4</v>
      </c>
      <c r="P14" s="783">
        <f t="shared" si="0"/>
        <v>47907.18</v>
      </c>
    </row>
    <row r="15" spans="2:17" ht="16.5" x14ac:dyDescent="0.3">
      <c r="B15" s="780">
        <v>9</v>
      </c>
      <c r="C15" s="905" t="s">
        <v>322</v>
      </c>
      <c r="D15" s="782">
        <v>9849</v>
      </c>
      <c r="E15" s="782">
        <v>10286</v>
      </c>
      <c r="F15" s="782">
        <v>9687</v>
      </c>
      <c r="G15" s="782">
        <v>8767</v>
      </c>
      <c r="H15" s="782">
        <v>8805</v>
      </c>
      <c r="I15" s="782">
        <v>7369.5</v>
      </c>
      <c r="J15" s="782">
        <v>8069.5600000000013</v>
      </c>
      <c r="K15" s="782">
        <v>8765.4599999999973</v>
      </c>
      <c r="L15" s="782">
        <v>8360.4800000000014</v>
      </c>
      <c r="M15" s="782">
        <v>8350.5800000000017</v>
      </c>
      <c r="N15" s="782">
        <v>8579.9199999999983</v>
      </c>
      <c r="O15" s="782">
        <v>9485.5</v>
      </c>
      <c r="P15" s="783">
        <f t="shared" si="0"/>
        <v>106374.99999999999</v>
      </c>
    </row>
    <row r="16" spans="2:17" ht="16.5" x14ac:dyDescent="0.3">
      <c r="B16" s="780">
        <v>10</v>
      </c>
      <c r="C16" s="905" t="s">
        <v>323</v>
      </c>
      <c r="D16" s="782">
        <v>95897</v>
      </c>
      <c r="E16" s="782">
        <v>93205</v>
      </c>
      <c r="F16" s="782">
        <v>88986.890000000014</v>
      </c>
      <c r="G16" s="782">
        <v>98086.109999999986</v>
      </c>
      <c r="H16" s="782">
        <v>94483</v>
      </c>
      <c r="I16" s="782">
        <v>92330</v>
      </c>
      <c r="J16" s="782">
        <v>93767.119999999981</v>
      </c>
      <c r="K16" s="782">
        <v>88869.949999999983</v>
      </c>
      <c r="L16" s="782">
        <v>92253.410000000018</v>
      </c>
      <c r="M16" s="782">
        <v>94698.159999999974</v>
      </c>
      <c r="N16" s="782">
        <v>84846.680000000051</v>
      </c>
      <c r="O16" s="782">
        <v>92789.359999999986</v>
      </c>
      <c r="P16" s="783">
        <f t="shared" si="0"/>
        <v>1110212.68</v>
      </c>
    </row>
    <row r="17" spans="2:16" ht="16.5" x14ac:dyDescent="0.3">
      <c r="B17" s="780">
        <v>11</v>
      </c>
      <c r="C17" s="905" t="s">
        <v>324</v>
      </c>
      <c r="D17" s="782">
        <v>74478</v>
      </c>
      <c r="E17" s="782">
        <v>71111</v>
      </c>
      <c r="F17" s="782">
        <v>59108</v>
      </c>
      <c r="G17" s="782">
        <v>60713</v>
      </c>
      <c r="H17" s="782">
        <v>62711</v>
      </c>
      <c r="I17" s="782">
        <v>53053</v>
      </c>
      <c r="J17" s="782">
        <v>58455.68</v>
      </c>
      <c r="K17" s="782">
        <v>60891.8</v>
      </c>
      <c r="L17" s="782">
        <v>56874.96</v>
      </c>
      <c r="M17" s="782">
        <v>53214.83</v>
      </c>
      <c r="N17" s="782">
        <v>54924.7</v>
      </c>
      <c r="O17" s="782">
        <v>61793.58</v>
      </c>
      <c r="P17" s="783">
        <f t="shared" si="0"/>
        <v>727329.54999999981</v>
      </c>
    </row>
    <row r="18" spans="2:16" ht="16.5" x14ac:dyDescent="0.3">
      <c r="B18" s="780">
        <v>12</v>
      </c>
      <c r="C18" s="905" t="s">
        <v>325</v>
      </c>
      <c r="D18" s="782">
        <v>1166</v>
      </c>
      <c r="E18" s="782">
        <v>1087</v>
      </c>
      <c r="F18" s="782">
        <v>888</v>
      </c>
      <c r="G18" s="782">
        <v>805</v>
      </c>
      <c r="H18" s="782">
        <v>890</v>
      </c>
      <c r="I18" s="782">
        <v>638</v>
      </c>
      <c r="J18" s="782">
        <v>768</v>
      </c>
      <c r="K18" s="782">
        <v>893</v>
      </c>
      <c r="L18" s="782">
        <v>867</v>
      </c>
      <c r="M18" s="782">
        <v>775</v>
      </c>
      <c r="N18" s="782">
        <v>827</v>
      </c>
      <c r="O18" s="782">
        <v>912</v>
      </c>
      <c r="P18" s="783">
        <f t="shared" si="0"/>
        <v>10516</v>
      </c>
    </row>
    <row r="19" spans="2:16" ht="16.5" x14ac:dyDescent="0.3">
      <c r="B19" s="780">
        <v>14</v>
      </c>
      <c r="C19" s="905" t="s">
        <v>326</v>
      </c>
      <c r="D19" s="782">
        <v>219</v>
      </c>
      <c r="E19" s="782">
        <v>94</v>
      </c>
      <c r="F19" s="782">
        <v>55</v>
      </c>
      <c r="G19" s="782">
        <v>66</v>
      </c>
      <c r="H19" s="782">
        <v>39</v>
      </c>
      <c r="I19" s="782">
        <v>32</v>
      </c>
      <c r="J19" s="782">
        <v>44</v>
      </c>
      <c r="K19" s="782">
        <v>49</v>
      </c>
      <c r="L19" s="782">
        <v>64</v>
      </c>
      <c r="M19" s="782">
        <v>37</v>
      </c>
      <c r="N19" s="782">
        <v>82</v>
      </c>
      <c r="O19" s="782">
        <v>52</v>
      </c>
      <c r="P19" s="783">
        <f t="shared" si="0"/>
        <v>833</v>
      </c>
    </row>
    <row r="20" spans="2:16" ht="16.5" x14ac:dyDescent="0.3">
      <c r="B20" s="780">
        <v>15</v>
      </c>
      <c r="C20" s="905" t="s">
        <v>327</v>
      </c>
      <c r="D20" s="782">
        <v>2320</v>
      </c>
      <c r="E20" s="782">
        <v>2090</v>
      </c>
      <c r="F20" s="782">
        <v>1500</v>
      </c>
      <c r="G20" s="782">
        <v>1910</v>
      </c>
      <c r="H20" s="782">
        <v>2100</v>
      </c>
      <c r="I20" s="782">
        <v>1620</v>
      </c>
      <c r="J20" s="782">
        <v>2340.0000000000091</v>
      </c>
      <c r="K20" s="782">
        <v>2629.9999999999909</v>
      </c>
      <c r="L20" s="782">
        <v>2450</v>
      </c>
      <c r="M20" s="782">
        <v>3835.0000000000182</v>
      </c>
      <c r="N20" s="782">
        <v>3044.9999999999818</v>
      </c>
      <c r="O20" s="782">
        <v>3760</v>
      </c>
      <c r="P20" s="783">
        <f t="shared" si="0"/>
        <v>29600</v>
      </c>
    </row>
    <row r="21" spans="2:16" ht="16.5" x14ac:dyDescent="0.3">
      <c r="B21" s="780">
        <v>16</v>
      </c>
      <c r="C21" s="905" t="s">
        <v>328</v>
      </c>
      <c r="D21" s="782">
        <v>22189</v>
      </c>
      <c r="E21" s="782">
        <v>25644</v>
      </c>
      <c r="F21" s="782">
        <v>28508</v>
      </c>
      <c r="G21" s="782">
        <v>27648</v>
      </c>
      <c r="H21" s="782">
        <v>26714</v>
      </c>
      <c r="I21" s="782">
        <v>24656</v>
      </c>
      <c r="J21" s="782">
        <v>8773</v>
      </c>
      <c r="K21" s="782">
        <v>10637</v>
      </c>
      <c r="L21" s="782">
        <v>10914</v>
      </c>
      <c r="M21" s="782">
        <v>8528</v>
      </c>
      <c r="N21" s="782">
        <v>8978</v>
      </c>
      <c r="O21" s="782">
        <v>11048</v>
      </c>
      <c r="P21" s="783">
        <f t="shared" si="0"/>
        <v>214237</v>
      </c>
    </row>
    <row r="22" spans="2:16" ht="16.5" x14ac:dyDescent="0.3">
      <c r="B22" s="780">
        <v>13</v>
      </c>
      <c r="C22" s="781" t="s">
        <v>401</v>
      </c>
      <c r="D22" s="782">
        <v>300</v>
      </c>
      <c r="E22" s="782">
        <v>700</v>
      </c>
      <c r="F22" s="782">
        <v>400</v>
      </c>
      <c r="G22" s="782">
        <v>450</v>
      </c>
      <c r="H22" s="782">
        <v>400</v>
      </c>
      <c r="I22" s="782">
        <v>400</v>
      </c>
      <c r="J22" s="782">
        <v>300</v>
      </c>
      <c r="K22" s="782">
        <v>350</v>
      </c>
      <c r="L22" s="782">
        <v>200</v>
      </c>
      <c r="M22" s="782">
        <v>200</v>
      </c>
      <c r="N22" s="782">
        <v>300</v>
      </c>
      <c r="O22" s="782">
        <v>100</v>
      </c>
      <c r="P22" s="783">
        <f>SUM(D22:O22)</f>
        <v>4100</v>
      </c>
    </row>
    <row r="23" spans="2:16" ht="16.5" x14ac:dyDescent="0.3">
      <c r="B23" s="780">
        <v>17</v>
      </c>
      <c r="C23" s="781" t="s">
        <v>410</v>
      </c>
      <c r="D23" s="782">
        <v>14511</v>
      </c>
      <c r="E23" s="782">
        <v>15087</v>
      </c>
      <c r="F23" s="782">
        <v>15100</v>
      </c>
      <c r="G23" s="782">
        <v>22153</v>
      </c>
      <c r="H23" s="782">
        <v>22462</v>
      </c>
      <c r="I23" s="782">
        <v>20713</v>
      </c>
      <c r="J23" s="782">
        <v>21387</v>
      </c>
      <c r="K23" s="782">
        <v>21135.000000000004</v>
      </c>
      <c r="L23" s="782">
        <v>20985</v>
      </c>
      <c r="M23" s="782">
        <v>20439</v>
      </c>
      <c r="N23" s="782">
        <v>20640</v>
      </c>
      <c r="O23" s="782">
        <v>22841</v>
      </c>
      <c r="P23" s="783">
        <f t="shared" si="0"/>
        <v>237453</v>
      </c>
    </row>
    <row r="24" spans="2:16" ht="16.5" x14ac:dyDescent="0.3">
      <c r="B24" s="780">
        <v>18</v>
      </c>
      <c r="C24" s="785" t="s">
        <v>296</v>
      </c>
      <c r="D24" s="782">
        <f>+'[5]Street Light &amp; Self'!$D$6</f>
        <v>27663</v>
      </c>
      <c r="E24" s="782">
        <f>+'[5]Street Light &amp; Self'!$D$7</f>
        <v>27068</v>
      </c>
      <c r="F24" s="782">
        <f>+'[5]Street Light &amp; Self'!$D$8</f>
        <v>29387</v>
      </c>
      <c r="G24" s="782">
        <f>+'[5]Street Light &amp; Self'!$D$9</f>
        <v>26574</v>
      </c>
      <c r="H24" s="782">
        <f>+'[5]Street Light &amp; Self'!$D$10</f>
        <v>26220</v>
      </c>
      <c r="I24" s="782">
        <f>+'[5]Street Light &amp; Self'!$D$11</f>
        <v>15149</v>
      </c>
      <c r="J24" s="782">
        <f>+'[5]Street Light &amp; Self'!$D$12</f>
        <v>29233</v>
      </c>
      <c r="K24" s="782">
        <f>+'[5]Street Light &amp; Self'!$D$13</f>
        <v>21387.5</v>
      </c>
      <c r="L24" s="782">
        <f>+'[5]Street Light &amp; Self'!$D$14</f>
        <v>19794</v>
      </c>
      <c r="M24" s="782">
        <f>+'[5]Street Light &amp; Self'!$D$15</f>
        <v>20714</v>
      </c>
      <c r="N24" s="782">
        <f>+'[5]Street Light &amp; Self'!$D$16</f>
        <v>17778</v>
      </c>
      <c r="O24" s="782">
        <f>+'[5]Street Light &amp; Self'!$D$17</f>
        <v>21442</v>
      </c>
      <c r="P24" s="783">
        <f t="shared" si="0"/>
        <v>282409.5</v>
      </c>
    </row>
    <row r="25" spans="2:16" ht="16.5" x14ac:dyDescent="0.3">
      <c r="B25" s="786"/>
      <c r="C25" s="787" t="s">
        <v>640</v>
      </c>
      <c r="D25" s="788">
        <f t="shared" ref="D25:P25" si="1">SUM(D7:D24)</f>
        <v>3292878.64</v>
      </c>
      <c r="E25" s="788">
        <f t="shared" si="1"/>
        <v>3390438</v>
      </c>
      <c r="F25" s="788">
        <f t="shared" si="1"/>
        <v>3108113.29</v>
      </c>
      <c r="G25" s="788">
        <f t="shared" si="1"/>
        <v>3226232.62</v>
      </c>
      <c r="H25" s="788">
        <f t="shared" si="1"/>
        <v>3152078.0799999996</v>
      </c>
      <c r="I25" s="788">
        <f t="shared" si="1"/>
        <v>2873369.87</v>
      </c>
      <c r="J25" s="788">
        <f t="shared" si="1"/>
        <v>2982871.53</v>
      </c>
      <c r="K25" s="788">
        <f t="shared" si="1"/>
        <v>2982389.8400000003</v>
      </c>
      <c r="L25" s="788">
        <f t="shared" si="1"/>
        <v>2918050.4499999997</v>
      </c>
      <c r="M25" s="788">
        <f t="shared" si="1"/>
        <v>2998360.4900000007</v>
      </c>
      <c r="N25" s="788">
        <f t="shared" si="1"/>
        <v>2841843.9299999997</v>
      </c>
      <c r="O25" s="788">
        <f t="shared" si="1"/>
        <v>3129242.4099999988</v>
      </c>
      <c r="P25" s="789">
        <f t="shared" si="1"/>
        <v>36895869.149999991</v>
      </c>
    </row>
    <row r="26" spans="2:16" ht="16.5" x14ac:dyDescent="0.3">
      <c r="B26" s="780">
        <v>1</v>
      </c>
      <c r="C26" s="790" t="s">
        <v>496</v>
      </c>
      <c r="D26" s="782">
        <v>1898458</v>
      </c>
      <c r="E26" s="782">
        <v>1947685</v>
      </c>
      <c r="F26" s="782">
        <v>1772023.1099999999</v>
      </c>
      <c r="G26" s="782">
        <v>1989038.8900000001</v>
      </c>
      <c r="H26" s="782">
        <v>1953070</v>
      </c>
      <c r="I26" s="782">
        <v>1790254</v>
      </c>
      <c r="J26" s="782">
        <v>1939778</v>
      </c>
      <c r="K26" s="782">
        <v>1835733.45</v>
      </c>
      <c r="L26" s="782">
        <v>1859215.2</v>
      </c>
      <c r="M26" s="782">
        <v>1869882.7099999997</v>
      </c>
      <c r="N26" s="782">
        <v>1775108.88</v>
      </c>
      <c r="O26" s="782">
        <v>2018425.28</v>
      </c>
      <c r="P26" s="783">
        <f>SUM(D26:O26)</f>
        <v>22648672.52</v>
      </c>
    </row>
    <row r="27" spans="2:16" ht="16.5" x14ac:dyDescent="0.3">
      <c r="B27" s="780">
        <v>2</v>
      </c>
      <c r="C27" s="790" t="s">
        <v>495</v>
      </c>
      <c r="D27" s="782">
        <v>34482</v>
      </c>
      <c r="E27" s="782">
        <v>31557</v>
      </c>
      <c r="F27" s="782">
        <v>34518</v>
      </c>
      <c r="G27" s="782">
        <v>35511</v>
      </c>
      <c r="H27" s="782">
        <v>30795</v>
      </c>
      <c r="I27" s="782">
        <v>35169</v>
      </c>
      <c r="J27" s="782">
        <v>35910</v>
      </c>
      <c r="K27" s="782">
        <v>34338</v>
      </c>
      <c r="L27" s="782">
        <v>34812</v>
      </c>
      <c r="M27" s="782">
        <v>36627</v>
      </c>
      <c r="N27" s="782">
        <v>34323</v>
      </c>
      <c r="O27" s="782">
        <v>36972</v>
      </c>
      <c r="P27" s="783">
        <f>SUM(D27:O27)</f>
        <v>415014</v>
      </c>
    </row>
    <row r="28" spans="2:16" ht="16.5" x14ac:dyDescent="0.3">
      <c r="B28" s="780">
        <v>3</v>
      </c>
      <c r="C28" s="791" t="s">
        <v>66</v>
      </c>
      <c r="D28" s="782">
        <v>62700</v>
      </c>
      <c r="E28" s="782">
        <v>57483</v>
      </c>
      <c r="F28" s="782">
        <v>51834</v>
      </c>
      <c r="G28" s="782">
        <v>56838</v>
      </c>
      <c r="H28" s="782">
        <v>65376</v>
      </c>
      <c r="I28" s="782">
        <v>52422</v>
      </c>
      <c r="J28" s="782">
        <v>59184</v>
      </c>
      <c r="K28" s="782">
        <v>54939</v>
      </c>
      <c r="L28" s="782">
        <v>55719</v>
      </c>
      <c r="M28" s="782">
        <v>52608</v>
      </c>
      <c r="N28" s="782">
        <v>49836</v>
      </c>
      <c r="O28" s="782">
        <v>54558</v>
      </c>
      <c r="P28" s="783">
        <f>SUM(D28:O28)</f>
        <v>673497</v>
      </c>
    </row>
    <row r="29" spans="2:16" ht="16.5" x14ac:dyDescent="0.3">
      <c r="B29" s="786"/>
      <c r="C29" s="787" t="s">
        <v>639</v>
      </c>
      <c r="D29" s="788">
        <f t="shared" ref="D29:O29" si="2">SUM(D26:D28)</f>
        <v>1995640</v>
      </c>
      <c r="E29" s="788">
        <f t="shared" si="2"/>
        <v>2036725</v>
      </c>
      <c r="F29" s="788">
        <f t="shared" si="2"/>
        <v>1858375.1099999999</v>
      </c>
      <c r="G29" s="788">
        <f t="shared" si="2"/>
        <v>2081387.8900000001</v>
      </c>
      <c r="H29" s="788">
        <f t="shared" si="2"/>
        <v>2049241</v>
      </c>
      <c r="I29" s="788">
        <f t="shared" si="2"/>
        <v>1877845</v>
      </c>
      <c r="J29" s="788">
        <f t="shared" si="2"/>
        <v>2034872</v>
      </c>
      <c r="K29" s="788">
        <f t="shared" si="2"/>
        <v>1925010.45</v>
      </c>
      <c r="L29" s="788">
        <f t="shared" si="2"/>
        <v>1949746.2</v>
      </c>
      <c r="M29" s="788">
        <f t="shared" si="2"/>
        <v>1959117.7099999997</v>
      </c>
      <c r="N29" s="788">
        <f t="shared" si="2"/>
        <v>1859267.88</v>
      </c>
      <c r="O29" s="788">
        <f t="shared" si="2"/>
        <v>2109955.2800000003</v>
      </c>
      <c r="P29" s="789">
        <f>SUM(P26:P28)</f>
        <v>23737183.52</v>
      </c>
    </row>
    <row r="30" spans="2:16" ht="16.5" x14ac:dyDescent="0.3">
      <c r="B30" s="780"/>
      <c r="C30" s="785" t="s">
        <v>641</v>
      </c>
      <c r="D30" s="906">
        <f t="shared" ref="D30:P30" si="3">(D29+D25)/100000</f>
        <v>52.885186400000009</v>
      </c>
      <c r="E30" s="906">
        <f t="shared" si="3"/>
        <v>54.271630000000002</v>
      </c>
      <c r="F30" s="906">
        <f t="shared" si="3"/>
        <v>49.664884000000001</v>
      </c>
      <c r="G30" s="906">
        <f t="shared" si="3"/>
        <v>53.076205099999996</v>
      </c>
      <c r="H30" s="906">
        <f t="shared" si="3"/>
        <v>52.013190800000004</v>
      </c>
      <c r="I30" s="906">
        <f t="shared" si="3"/>
        <v>47.512148700000004</v>
      </c>
      <c r="J30" s="906">
        <f t="shared" si="3"/>
        <v>50.177435299999992</v>
      </c>
      <c r="K30" s="906">
        <f t="shared" si="3"/>
        <v>49.074002900000004</v>
      </c>
      <c r="L30" s="906">
        <f t="shared" si="3"/>
        <v>48.677966499999997</v>
      </c>
      <c r="M30" s="906">
        <f t="shared" si="3"/>
        <v>49.574781999999999</v>
      </c>
      <c r="N30" s="906">
        <f t="shared" si="3"/>
        <v>47.011118099999997</v>
      </c>
      <c r="O30" s="906">
        <f t="shared" si="3"/>
        <v>52.391976899999996</v>
      </c>
      <c r="P30" s="907">
        <f t="shared" si="3"/>
        <v>606.33052669999984</v>
      </c>
    </row>
    <row r="31" spans="2:16" ht="17.25" thickBot="1" x14ac:dyDescent="0.35">
      <c r="B31" s="792"/>
      <c r="C31" s="793" t="s">
        <v>298</v>
      </c>
      <c r="D31" s="794"/>
      <c r="E31" s="794"/>
      <c r="F31" s="794"/>
      <c r="G31" s="794"/>
      <c r="H31" s="794"/>
      <c r="I31" s="794"/>
      <c r="J31" s="794"/>
      <c r="K31" s="794"/>
      <c r="L31" s="794"/>
      <c r="M31" s="794"/>
      <c r="N31" s="794"/>
      <c r="O31" s="795"/>
      <c r="P31" s="796">
        <f>+'D62 FY18 LOSS'!D8</f>
        <v>619.42499999999995</v>
      </c>
    </row>
    <row r="36" spans="2:14" ht="16.5" x14ac:dyDescent="0.3">
      <c r="B36" s="934" t="s">
        <v>723</v>
      </c>
      <c r="C36" s="935"/>
      <c r="D36" s="521"/>
      <c r="E36"/>
      <c r="F36"/>
      <c r="N36" s="936" t="s">
        <v>724</v>
      </c>
    </row>
    <row r="37" spans="2:14" ht="16.5" x14ac:dyDescent="0.3">
      <c r="B37" s="934" t="s">
        <v>725</v>
      </c>
      <c r="C37" s="935"/>
      <c r="D37" s="521"/>
      <c r="E37"/>
      <c r="F37"/>
      <c r="N37" s="937" t="s">
        <v>726</v>
      </c>
    </row>
    <row r="38" spans="2:14" ht="16.5" x14ac:dyDescent="0.3">
      <c r="B38" s="7"/>
      <c r="C38" s="7"/>
      <c r="D38" s="521"/>
      <c r="E38"/>
      <c r="F38"/>
      <c r="N38"/>
    </row>
    <row r="39" spans="2:14" ht="16.5" x14ac:dyDescent="0.3">
      <c r="B39" s="7"/>
      <c r="C39" s="7"/>
      <c r="D39" s="521"/>
      <c r="E39" s="59"/>
      <c r="F39"/>
      <c r="N39"/>
    </row>
    <row r="40" spans="2:14" ht="16.5" x14ac:dyDescent="0.3">
      <c r="B40" s="7"/>
      <c r="C40" s="7"/>
      <c r="D40" s="521"/>
      <c r="E40" s="59"/>
      <c r="F40"/>
      <c r="N40"/>
    </row>
    <row r="41" spans="2:14" ht="16.5" x14ac:dyDescent="0.3">
      <c r="B41" s="7"/>
      <c r="C41" s="7"/>
      <c r="D41" s="521"/>
      <c r="E41" s="59"/>
      <c r="F41"/>
      <c r="N41"/>
    </row>
    <row r="42" spans="2:14" ht="16.5" x14ac:dyDescent="0.3">
      <c r="B42" s="946" t="s">
        <v>731</v>
      </c>
      <c r="C42" s="939"/>
      <c r="D42" s="521"/>
      <c r="E42" s="59"/>
      <c r="F42"/>
      <c r="N42" s="941" t="s">
        <v>728</v>
      </c>
    </row>
    <row r="43" spans="2:14" ht="16.5" x14ac:dyDescent="0.3">
      <c r="B43" s="946" t="s">
        <v>732</v>
      </c>
      <c r="C43" s="942"/>
      <c r="D43" s="521"/>
      <c r="E43" s="59"/>
      <c r="F43"/>
      <c r="N43" s="941" t="s">
        <v>730</v>
      </c>
    </row>
  </sheetData>
  <sortState ref="B7:P24">
    <sortCondition ref="B7:B24"/>
  </sortState>
  <mergeCells count="3">
    <mergeCell ref="B2:P2"/>
    <mergeCell ref="B3:P3"/>
    <mergeCell ref="B4:N4"/>
  </mergeCells>
  <printOptions horizontalCentered="1" verticalCentered="1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P52"/>
  <sheetViews>
    <sheetView zoomScale="70" zoomScaleNormal="70" workbookViewId="0">
      <selection sqref="A1:O36"/>
    </sheetView>
  </sheetViews>
  <sheetFormatPr defaultRowHeight="15.75" x14ac:dyDescent="0.25"/>
  <cols>
    <col min="1" max="1" width="8" style="898" customWidth="1"/>
    <col min="2" max="2" width="71.7109375" style="898" bestFit="1" customWidth="1"/>
    <col min="3" max="3" width="11.5703125" style="898" customWidth="1"/>
    <col min="4" max="4" width="12" style="898" customWidth="1"/>
    <col min="5" max="5" width="9.85546875" style="898" customWidth="1"/>
    <col min="6" max="6" width="10.42578125" style="898" customWidth="1"/>
    <col min="7" max="7" width="11.5703125" style="898" customWidth="1"/>
    <col min="8" max="8" width="10.5703125" style="898" customWidth="1"/>
    <col min="9" max="9" width="10.140625" style="898" customWidth="1"/>
    <col min="10" max="10" width="9.5703125" style="898" customWidth="1"/>
    <col min="11" max="11" width="10.85546875" style="898" customWidth="1"/>
    <col min="12" max="12" width="11.28515625" style="898" customWidth="1"/>
    <col min="13" max="13" width="10.140625" style="898" customWidth="1"/>
    <col min="14" max="14" width="10.85546875" style="898" customWidth="1"/>
    <col min="15" max="15" width="11.140625" style="898" bestFit="1" customWidth="1"/>
    <col min="16" max="16" width="11.5703125" style="898" customWidth="1"/>
    <col min="17" max="19" width="9.140625" style="898"/>
    <col min="20" max="20" width="15.28515625" style="898" customWidth="1"/>
    <col min="21" max="16384" width="9.140625" style="898"/>
  </cols>
  <sheetData>
    <row r="1" spans="1:15" ht="17.25" thickBot="1" x14ac:dyDescent="0.3">
      <c r="A1" s="1181" t="s">
        <v>638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1182"/>
      <c r="N1" s="1182"/>
      <c r="O1" s="1183"/>
    </row>
    <row r="2" spans="1:15" ht="16.5" thickBot="1" x14ac:dyDescent="0.3">
      <c r="A2" s="1027" t="s">
        <v>621</v>
      </c>
      <c r="B2" s="1028"/>
      <c r="C2" s="1028"/>
      <c r="D2" s="1028"/>
      <c r="E2" s="1028"/>
      <c r="F2" s="1028"/>
      <c r="G2" s="1028"/>
      <c r="H2" s="1028"/>
      <c r="I2" s="1028"/>
      <c r="J2" s="1028"/>
      <c r="K2" s="1028"/>
      <c r="L2" s="1028"/>
      <c r="M2" s="1028"/>
      <c r="N2" s="1028"/>
      <c r="O2" s="1029"/>
    </row>
    <row r="3" spans="1:15" ht="17.25" thickBot="1" x14ac:dyDescent="0.35">
      <c r="A3" s="1184" t="s">
        <v>720</v>
      </c>
      <c r="B3" s="1185"/>
      <c r="C3" s="1185"/>
      <c r="D3" s="1185"/>
      <c r="E3" s="1185"/>
      <c r="F3" s="1185"/>
      <c r="G3" s="1185"/>
      <c r="H3" s="1185"/>
      <c r="I3" s="1185"/>
      <c r="J3" s="1185"/>
      <c r="K3" s="1185"/>
      <c r="L3" s="1185"/>
      <c r="M3" s="1185"/>
      <c r="N3" s="771"/>
      <c r="O3" s="772" t="s">
        <v>294</v>
      </c>
    </row>
    <row r="4" spans="1:15" s="899" customFormat="1" ht="31.5" customHeight="1" x14ac:dyDescent="0.25">
      <c r="A4" s="909" t="s">
        <v>27</v>
      </c>
      <c r="B4" s="910" t="s">
        <v>157</v>
      </c>
      <c r="C4" s="910" t="s">
        <v>158</v>
      </c>
      <c r="D4" s="910" t="s">
        <v>159</v>
      </c>
      <c r="E4" s="910" t="s">
        <v>160</v>
      </c>
      <c r="F4" s="911" t="s">
        <v>161</v>
      </c>
      <c r="G4" s="911" t="s">
        <v>162</v>
      </c>
      <c r="H4" s="911" t="s">
        <v>163</v>
      </c>
      <c r="I4" s="911" t="s">
        <v>164</v>
      </c>
      <c r="J4" s="911" t="s">
        <v>165</v>
      </c>
      <c r="K4" s="911" t="s">
        <v>166</v>
      </c>
      <c r="L4" s="911" t="s">
        <v>167</v>
      </c>
      <c r="M4" s="911" t="s">
        <v>168</v>
      </c>
      <c r="N4" s="911" t="s">
        <v>169</v>
      </c>
      <c r="O4" s="912" t="s">
        <v>22</v>
      </c>
    </row>
    <row r="5" spans="1:15" s="900" customFormat="1" ht="16.5" x14ac:dyDescent="0.25">
      <c r="A5" s="777">
        <v>1</v>
      </c>
      <c r="B5" s="778">
        <v>2</v>
      </c>
      <c r="C5" s="778">
        <v>3</v>
      </c>
      <c r="D5" s="778">
        <v>4</v>
      </c>
      <c r="E5" s="778">
        <v>5</v>
      </c>
      <c r="F5" s="778">
        <v>6</v>
      </c>
      <c r="G5" s="778">
        <v>7</v>
      </c>
      <c r="H5" s="778">
        <v>8</v>
      </c>
      <c r="I5" s="778">
        <v>9</v>
      </c>
      <c r="J5" s="778">
        <v>10</v>
      </c>
      <c r="K5" s="778">
        <v>11</v>
      </c>
      <c r="L5" s="778">
        <v>12</v>
      </c>
      <c r="M5" s="778">
        <v>13</v>
      </c>
      <c r="N5" s="778">
        <v>14</v>
      </c>
      <c r="O5" s="779">
        <v>15</v>
      </c>
    </row>
    <row r="6" spans="1:15" s="901" customFormat="1" ht="16.5" x14ac:dyDescent="0.3">
      <c r="A6" s="913">
        <v>1</v>
      </c>
      <c r="B6" s="914" t="s">
        <v>709</v>
      </c>
      <c r="C6" s="782">
        <f>+'[7]Phase II&amp;III LT'!$G$6+'[7]Phase II&amp;III LT'!$H$6+'[7]Phase II&amp;III LT'!$I$6</f>
        <v>6601.2000000000044</v>
      </c>
      <c r="D6" s="782">
        <f>+'[7]Phase II&amp;III LT'!$G$15+'[7]Phase II&amp;III LT'!$H$15+'[7]Phase II&amp;III LT'!$I$15</f>
        <v>8620.0999999999967</v>
      </c>
      <c r="E6" s="782">
        <f>+'[7]Phase II&amp;III LT'!$G$24+'[7]Phase II&amp;III LT'!$H$24+'[7]Phase II&amp;III LT'!$I$24</f>
        <v>5535.4999999999991</v>
      </c>
      <c r="F6" s="782">
        <f>+'[7]Phase II&amp;III LT'!$G$33+'[7]Phase II&amp;III LT'!$H$33+'[7]Phase II&amp;III LT'!$I$33</f>
        <v>5051.2000000000089</v>
      </c>
      <c r="G6" s="782">
        <f>+'[7]Phase II&amp;III LT'!$G$42+'[7]Phase II&amp;III LT'!$H$42+'[7]Phase II&amp;III LT'!$I$42</f>
        <v>4444.5999999999976</v>
      </c>
      <c r="H6" s="782">
        <f>+'[7]Phase II&amp;III LT'!$G$51+'[7]Phase II&amp;III LT'!$H$51+'[7]Phase II&amp;III LT'!$I$51</f>
        <v>1832.8999999999933</v>
      </c>
      <c r="I6" s="782">
        <f>+'[7]Phase II&amp;III LT'!$G$60+'[7]Phase II&amp;III LT'!$H$60+'[7]Phase II&amp;III LT'!$I$60</f>
        <v>1844.4000000000028</v>
      </c>
      <c r="J6" s="782">
        <f>+'[7]Phase II&amp;III LT'!$G$69+'[7]Phase II&amp;III LT'!$H$69+'[7]Phase II&amp;III LT'!$I$69</f>
        <v>1987.5000000000009</v>
      </c>
      <c r="K6" s="782">
        <f>+'[7]Phase II&amp;III LT'!$G$78+'[7]Phase II&amp;III LT'!$H$78+'[7]Phase II&amp;III LT'!$I$78</f>
        <v>2475.9999999999891</v>
      </c>
      <c r="L6" s="782">
        <f>+'[7]Phase II&amp;III LT'!G87+'[7]Phase II&amp;III LT'!H87+'[7]Phase II&amp;III LT'!I87</f>
        <v>3504.0000000000091</v>
      </c>
      <c r="M6" s="782">
        <f>+'[7]Phase II&amp;III LT'!G98+'[7]Phase II&amp;III LT'!H98+'[7]Phase II&amp;III LT'!I98</f>
        <v>4233.6000000000031</v>
      </c>
      <c r="N6" s="782">
        <f>+'[7]Phase II&amp;III LT'!G109+'[7]Phase II&amp;III LT'!H109+'[7]Phase II&amp;III LT'!I109</f>
        <v>9200.0000000000018</v>
      </c>
      <c r="O6" s="783">
        <f t="shared" ref="O6:O16" si="0">SUM(C6:N6)</f>
        <v>55331.000000000007</v>
      </c>
    </row>
    <row r="7" spans="1:15" s="901" customFormat="1" ht="16.5" x14ac:dyDescent="0.3">
      <c r="A7" s="913">
        <v>2</v>
      </c>
      <c r="B7" s="914" t="s">
        <v>710</v>
      </c>
      <c r="C7" s="782">
        <f>+'[7]Phase II&amp;III LT'!$G$7+'[7]Phase II&amp;III LT'!$H$7+'[7]Phase II&amp;III LT'!$I$7</f>
        <v>562180.74999999977</v>
      </c>
      <c r="D7" s="782">
        <f>+'[7]Phase II&amp;III LT'!$G$16+'[7]Phase II&amp;III LT'!$H$16+'[7]Phase II&amp;III LT'!$I$16</f>
        <v>600338.40000000014</v>
      </c>
      <c r="E7" s="782">
        <f>+'[7]Phase II&amp;III LT'!$G$25+'[7]Phase II&amp;III LT'!$H$25+'[7]Phase II&amp;III LT'!$I$25</f>
        <v>571048.45000000019</v>
      </c>
      <c r="F7" s="782">
        <f>+'[7]Phase II&amp;III LT'!$G$34+'[7]Phase II&amp;III LT'!$H$34+'[7]Phase II&amp;III LT'!$I$34</f>
        <v>581049.19999999995</v>
      </c>
      <c r="G7" s="782">
        <f>+'[7]Phase II&amp;III LT'!$G$43+'[7]Phase II&amp;III LT'!$H$43+'[7]Phase II&amp;III LT'!$I$43</f>
        <v>593306.84999999974</v>
      </c>
      <c r="H7" s="782">
        <f>+'[7]Phase II&amp;III LT'!$G$52+'[7]Phase II&amp;III LT'!$H$52+'[7]Phase II&amp;III LT'!$I$52</f>
        <v>549468.80000000005</v>
      </c>
      <c r="I7" s="782">
        <f>+'[7]Phase II&amp;III LT'!$G$61+'[7]Phase II&amp;III LT'!$H$61+'[7]Phase II&amp;III LT'!$I$61</f>
        <v>577006.30000000016</v>
      </c>
      <c r="J7" s="782">
        <f>+'[7]Phase II&amp;III LT'!$G$70+'[7]Phase II&amp;III LT'!$H$70+'[7]Phase II&amp;III LT'!$I$70</f>
        <v>555312.14999999991</v>
      </c>
      <c r="K7" s="782">
        <f>+'[7]Phase II&amp;III LT'!$G$79+'[7]Phase II&amp;III LT'!$H$79+'[7]Phase II&amp;III LT'!$I$79</f>
        <v>497996.24999999983</v>
      </c>
      <c r="L7" s="782">
        <f>+'[7]Phase II&amp;III LT'!G88+'[7]Phase II&amp;III LT'!H88+'[7]Phase II&amp;III LT'!I88</f>
        <v>510877.34999999986</v>
      </c>
      <c r="M7" s="782">
        <f>+'[7]Phase II&amp;III LT'!G99+'[7]Phase II&amp;III LT'!H99+'[7]Phase II&amp;III LT'!I99</f>
        <v>462176.70000000024</v>
      </c>
      <c r="N7" s="782">
        <f>+'[7]Phase II&amp;III LT'!G110+'[7]Phase II&amp;III LT'!H110+'[7]Phase II&amp;III LT'!I110</f>
        <v>539490.40000000014</v>
      </c>
      <c r="O7" s="783">
        <f t="shared" si="0"/>
        <v>6600251.5999999996</v>
      </c>
    </row>
    <row r="8" spans="1:15" s="901" customFormat="1" ht="16.5" x14ac:dyDescent="0.3">
      <c r="A8" s="913">
        <v>3</v>
      </c>
      <c r="B8" s="914" t="s">
        <v>709</v>
      </c>
      <c r="C8" s="782">
        <f>+'[7]Phase II&amp;III LT'!$G$8</f>
        <v>2275.2600000000002</v>
      </c>
      <c r="D8" s="782">
        <f>+'[7]Phase II&amp;III LT'!$G$17</f>
        <v>2374.1799999999985</v>
      </c>
      <c r="E8" s="782">
        <f>+'[7]Phase II&amp;III LT'!$G$26</f>
        <v>1971.1400000000012</v>
      </c>
      <c r="F8" s="782">
        <f>+'[7]Phase II&amp;III LT'!$G$35</f>
        <v>1188.9799999999977</v>
      </c>
      <c r="G8" s="782">
        <f>+'[7]Phase II&amp;III LT'!$G$44</f>
        <v>1037.8200000000015</v>
      </c>
      <c r="H8" s="782">
        <f>+'[7]Phase II&amp;III LT'!$G$53</f>
        <v>542.37999999999897</v>
      </c>
      <c r="I8" s="782">
        <f>+'[7]Phase II&amp;III LT'!$G$62</f>
        <v>623.89000000000124</v>
      </c>
      <c r="J8" s="782">
        <f>+'[7]Phase II&amp;III LT'!$G$71</f>
        <v>698.81999999999823</v>
      </c>
      <c r="K8" s="782">
        <f>+'[7]Phase II&amp;III LT'!$G$80</f>
        <v>636.49000000000342</v>
      </c>
      <c r="L8" s="782">
        <f>+'[7]Phase II&amp;III LT'!G89+'[7]Phase II&amp;III LT'!H89+'[7]Phase II&amp;III LT'!I89</f>
        <v>2338.5099999999966</v>
      </c>
      <c r="M8" s="782">
        <f>+'[7]Phase II&amp;III LT'!G100+'[7]Phase II&amp;III LT'!H100+'[7]Phase II&amp;III LT'!I100</f>
        <v>2176.6600000000008</v>
      </c>
      <c r="N8" s="782">
        <f>+'[7]Phase II&amp;III LT'!G111+'[7]Phase II&amp;III LT'!H111+'[7]Phase II&amp;III LT'!I111</f>
        <v>2546.6699999999983</v>
      </c>
      <c r="O8" s="783">
        <f t="shared" si="0"/>
        <v>18410.799999999996</v>
      </c>
    </row>
    <row r="9" spans="1:15" s="901" customFormat="1" ht="16.5" x14ac:dyDescent="0.3">
      <c r="A9" s="913">
        <v>4</v>
      </c>
      <c r="B9" s="914" t="s">
        <v>711</v>
      </c>
      <c r="C9" s="782">
        <f>+'[7]Phase II&amp;III LT'!$G$9*'[7]Phase II&amp;III LT'!AD125</f>
        <v>77416.715999999986</v>
      </c>
      <c r="D9" s="782">
        <f>+'[7]Phase II&amp;III LT'!$G$18*'[7]Phase II&amp;III LT'!$AD125</f>
        <v>79741.603499999997</v>
      </c>
      <c r="E9" s="782">
        <f>+'[7]Phase II&amp;III LT'!$G$27*'[7]Phase II&amp;III LT'!$AD125</f>
        <v>81315.236699999994</v>
      </c>
      <c r="F9" s="782">
        <f>+'[7]Phase II&amp;III LT'!$G$36*'[7]Phase II&amp;III LT'!$AD125</f>
        <v>81945.217799999984</v>
      </c>
      <c r="G9" s="782">
        <f>+'[7]Phase II&amp;III LT'!$G$45*'[7]Phase II&amp;III LT'!$AD125</f>
        <v>87832.850399999996</v>
      </c>
      <c r="H9" s="782">
        <f>+'[7]Phase II&amp;III LT'!$G$54*'[7]Phase II&amp;III LT'!$AD125</f>
        <v>79871.338920000038</v>
      </c>
      <c r="I9" s="782">
        <f>+'[7]Phase II&amp;III LT'!$G$63*'[7]Phase II&amp;III LT'!$AD125</f>
        <v>82865.460000000021</v>
      </c>
      <c r="J9" s="782">
        <f>+'[7]Phase II&amp;III LT'!$G$72*'[7]Phase II&amp;III LT'!$AD125</f>
        <v>87977.704499999978</v>
      </c>
      <c r="K9" s="782">
        <f>+'[7]Phase II&amp;III LT'!$G$81*'[7]Phase II&amp;III LT'!$AD125</f>
        <v>84346.747499999983</v>
      </c>
      <c r="L9" s="782">
        <f>+'[7]Phase II&amp;III LT'!G90+'[7]Phase II&amp;III LT'!H90+'[7]Phase II&amp;III LT'!I90</f>
        <v>93006.069999999992</v>
      </c>
      <c r="M9" s="782">
        <f>+'[7]Phase II&amp;III LT'!G101+'[7]Phase II&amp;III LT'!H101+'[7]Phase II&amp;III LT'!I101</f>
        <v>60584.359999999986</v>
      </c>
      <c r="N9" s="782">
        <f>+'[7]Phase II&amp;III LT'!G112+'[7]Phase II&amp;III LT'!H112+'[7]Phase II&amp;III LT'!I112</f>
        <v>65380.02</v>
      </c>
      <c r="O9" s="783">
        <f t="shared" si="0"/>
        <v>962283.32531999995</v>
      </c>
    </row>
    <row r="10" spans="1:15" s="901" customFormat="1" ht="16.5" x14ac:dyDescent="0.3">
      <c r="A10" s="913">
        <v>5</v>
      </c>
      <c r="B10" s="914" t="s">
        <v>712</v>
      </c>
      <c r="C10" s="782">
        <f>+'[7]Phase II&amp;III LT'!$G$9*'[7]Phase II&amp;III LT'!AD126</f>
        <v>19014.632000000001</v>
      </c>
      <c r="D10" s="782">
        <f>+'[7]Phase II&amp;III LT'!$G$18*'[7]Phase II&amp;III LT'!$AD126</f>
        <v>19585.657000000003</v>
      </c>
      <c r="E10" s="782">
        <f>+'[7]Phase II&amp;III LT'!$G$27*'[7]Phase II&amp;III LT'!$AD126</f>
        <v>19972.163400000001</v>
      </c>
      <c r="F10" s="782">
        <f>+'[7]Phase II&amp;III LT'!$G$36*'[7]Phase II&amp;III LT'!$AD126</f>
        <v>20126.8956</v>
      </c>
      <c r="G10" s="782">
        <f>+'[7]Phase II&amp;III LT'!$G$45*'[7]Phase II&amp;III LT'!$AD126</f>
        <v>21572.980800000001</v>
      </c>
      <c r="H10" s="782">
        <f>+'[7]Phase II&amp;III LT'!$G$54*'[7]Phase II&amp;III LT'!$AD126</f>
        <v>19617.521840000012</v>
      </c>
      <c r="I10" s="782">
        <f>+'[7]Phase II&amp;III LT'!$G$63*'[7]Phase II&amp;III LT'!$AD126</f>
        <v>20352.920000000009</v>
      </c>
      <c r="J10" s="782">
        <f>+'[7]Phase II&amp;III LT'!$G$72*'[7]Phase II&amp;III LT'!$AD126</f>
        <v>21608.558999999997</v>
      </c>
      <c r="K10" s="782">
        <f>+'[7]Phase II&amp;III LT'!$G$81*'[7]Phase II&amp;III LT'!$AD126</f>
        <v>20716.744999999999</v>
      </c>
      <c r="L10" s="782">
        <f>+'[7]Phase II&amp;III LT'!G91+'[7]Phase II&amp;III LT'!H91+'[7]Phase II&amp;III LT'!I91</f>
        <v>16386.440000000002</v>
      </c>
      <c r="M10" s="782">
        <f>+'[7]Phase II&amp;III LT'!G102+'[7]Phase II&amp;III LT'!H102+'[7]Phase II&amp;III LT'!I102</f>
        <v>15813.090000000002</v>
      </c>
      <c r="N10" s="782">
        <f>+'[7]Phase II&amp;III LT'!G113+'[7]Phase II&amp;III LT'!H113+'[7]Phase II&amp;III LT'!I113</f>
        <v>19131.800000000003</v>
      </c>
      <c r="O10" s="783">
        <f t="shared" si="0"/>
        <v>233899.40464000002</v>
      </c>
    </row>
    <row r="11" spans="1:15" s="901" customFormat="1" ht="16.5" x14ac:dyDescent="0.3">
      <c r="A11" s="913">
        <v>6</v>
      </c>
      <c r="B11" s="914" t="s">
        <v>713</v>
      </c>
      <c r="C11" s="782">
        <f>+'[7]Phase II&amp;III LT'!$G$9*'[7]Phase II&amp;III LT'!AD127</f>
        <v>39387.451999999997</v>
      </c>
      <c r="D11" s="782">
        <f>+'[7]Phase II&amp;III LT'!$G$18*'[7]Phase II&amp;III LT'!$AD127</f>
        <v>40570.289499999999</v>
      </c>
      <c r="E11" s="782">
        <f>+'[7]Phase II&amp;III LT'!$G$27*'[7]Phase II&amp;III LT'!$AD127</f>
        <v>41370.909899999999</v>
      </c>
      <c r="F11" s="782">
        <f>+'[7]Phase II&amp;III LT'!$G$36*'[7]Phase II&amp;III LT'!$AD127</f>
        <v>41691.426599999992</v>
      </c>
      <c r="G11" s="782">
        <f>+'[7]Phase II&amp;III LT'!$G$45*'[7]Phase II&amp;III LT'!$AD127</f>
        <v>44686.888800000001</v>
      </c>
      <c r="H11" s="782">
        <f>+'[7]Phase II&amp;III LT'!$G$54*'[7]Phase II&amp;III LT'!$AD127</f>
        <v>40636.295240000021</v>
      </c>
      <c r="I11" s="782">
        <f>+'[7]Phase II&amp;III LT'!$G$63*'[7]Phase II&amp;III LT'!$AD127</f>
        <v>42159.620000000017</v>
      </c>
      <c r="J11" s="782">
        <f>+'[7]Phase II&amp;III LT'!$G$72*'[7]Phase II&amp;III LT'!$AD127</f>
        <v>44760.58649999999</v>
      </c>
      <c r="K11" s="782">
        <f>+'[7]Phase II&amp;III LT'!$G$81*'[7]Phase II&amp;III LT'!$AD127</f>
        <v>42913.257499999985</v>
      </c>
      <c r="L11" s="782">
        <f>+'[7]Phase II&amp;III LT'!G92+'[7]Phase II&amp;III LT'!H92+'[7]Phase II&amp;III LT'!I92</f>
        <v>43100</v>
      </c>
      <c r="M11" s="782">
        <f>+'[7]Phase II&amp;III LT'!G103+'[7]Phase II&amp;III LT'!H103+'[7]Phase II&amp;III LT'!I103</f>
        <v>36090</v>
      </c>
      <c r="N11" s="782">
        <f>+'[7]Phase II&amp;III LT'!G114+'[7]Phase II&amp;III LT'!H114+'[7]Phase II&amp;III LT'!I114</f>
        <v>32360</v>
      </c>
      <c r="O11" s="783">
        <f t="shared" si="0"/>
        <v>489726.72603999998</v>
      </c>
    </row>
    <row r="12" spans="1:15" s="901" customFormat="1" ht="16.5" x14ac:dyDescent="0.3">
      <c r="A12" s="913">
        <v>7</v>
      </c>
      <c r="B12" s="914" t="s">
        <v>714</v>
      </c>
      <c r="C12" s="782">
        <f>+'[7]Phase II&amp;III LT'!G10</f>
        <v>714.06999999999971</v>
      </c>
      <c r="D12" s="782">
        <f>+'[7]Phase II&amp;III LT'!G19</f>
        <v>1208.4000000000008</v>
      </c>
      <c r="E12" s="782">
        <f>+'[7]Phase II&amp;III LT'!G28</f>
        <v>1080.9999999999995</v>
      </c>
      <c r="F12" s="782">
        <f>+'[7]Phase II&amp;III LT'!G37</f>
        <v>1111.8000000000006</v>
      </c>
      <c r="G12" s="782">
        <f>+'[7]Phase II&amp;III LT'!G46</f>
        <v>1160.9000000000001</v>
      </c>
      <c r="H12" s="782">
        <f>+'[7]Phase II&amp;III LT'!G55</f>
        <v>1076.1000000000004</v>
      </c>
      <c r="I12" s="782">
        <f>+'[7]Phase II&amp;III LT'!G64</f>
        <v>1199.2999999999995</v>
      </c>
      <c r="J12" s="782">
        <f>+'[7]Phase II&amp;III LT'!G73</f>
        <v>1151.0000000000002</v>
      </c>
      <c r="K12" s="782">
        <f>+'[7]Phase II&amp;III LT'!G82</f>
        <v>1110.5999999999985</v>
      </c>
      <c r="L12" s="782">
        <f>+'[7]Phase II&amp;III LT'!G93+'[7]Phase II&amp;III LT'!H93+'[7]Phase II&amp;III LT'!I93</f>
        <v>1210.8000000000011</v>
      </c>
      <c r="M12" s="782">
        <f>+'[7]Phase II&amp;III LT'!G104+'[7]Phase II&amp;III LT'!H104+'[7]Phase II&amp;III LT'!I104</f>
        <v>1263.1000000000001</v>
      </c>
      <c r="N12" s="782">
        <f>+'[7]Phase II&amp;III LT'!G115+'[7]Phase II&amp;III LT'!H115+'[7]Phase II&amp;III LT'!I115</f>
        <v>1420.6999999999996</v>
      </c>
      <c r="O12" s="783">
        <f t="shared" si="0"/>
        <v>13707.769999999999</v>
      </c>
    </row>
    <row r="13" spans="1:15" s="901" customFormat="1" ht="16.5" x14ac:dyDescent="0.3">
      <c r="A13" s="913">
        <v>8</v>
      </c>
      <c r="B13" s="914" t="s">
        <v>715</v>
      </c>
      <c r="C13" s="782">
        <f>+'[7]Phase II&amp;III LT'!G11</f>
        <v>5501.1500000000015</v>
      </c>
      <c r="D13" s="782">
        <f>+'[7]Phase II&amp;III LT'!G20</f>
        <v>5866.0999999999995</v>
      </c>
      <c r="E13" s="782">
        <f>+'[7]Phase II&amp;III LT'!G29</f>
        <v>5654.2</v>
      </c>
      <c r="F13" s="782">
        <f>+'[7]Phase II&amp;III LT'!G38</f>
        <v>5483.1999999999989</v>
      </c>
      <c r="G13" s="782">
        <f>+'[7]Phase II&amp;III LT'!G47</f>
        <v>5147.9000000000005</v>
      </c>
      <c r="H13" s="782">
        <f>+'[7]Phase II&amp;III LT'!G56</f>
        <v>4817.1000000000004</v>
      </c>
      <c r="I13" s="782">
        <f>+'[7]Phase II&amp;III LT'!G65</f>
        <v>5304.4700000000021</v>
      </c>
      <c r="J13" s="782">
        <f>+'[7]Phase II&amp;III LT'!G74</f>
        <v>5379.63</v>
      </c>
      <c r="K13" s="782">
        <f>+'[7]Phase II&amp;III LT'!G83</f>
        <v>5716.37</v>
      </c>
      <c r="L13" s="782">
        <f>+'[7]Phase II&amp;III LT'!G94+'[7]Phase II&amp;III LT'!H94+'[7]Phase II&amp;III LT'!I94</f>
        <v>5912.33</v>
      </c>
      <c r="M13" s="782">
        <f>+'[7]Phase II&amp;III LT'!G105+'[7]Phase II&amp;III LT'!H105+'[7]Phase II&amp;III LT'!I105</f>
        <v>6574.7800000000007</v>
      </c>
      <c r="N13" s="782">
        <f>+'[7]Phase II&amp;III LT'!G116+'[7]Phase II&amp;III LT'!H116+'[7]Phase II&amp;III LT'!I116</f>
        <v>6728.300000000002</v>
      </c>
      <c r="O13" s="783">
        <f t="shared" si="0"/>
        <v>68085.53</v>
      </c>
    </row>
    <row r="14" spans="1:15" s="901" customFormat="1" ht="16.5" x14ac:dyDescent="0.3">
      <c r="A14" s="913">
        <v>9</v>
      </c>
      <c r="B14" s="914" t="s">
        <v>716</v>
      </c>
      <c r="C14" s="782">
        <f>+'[7]Phase II&amp;III LT'!G12</f>
        <v>10096.379999999997</v>
      </c>
      <c r="D14" s="782">
        <f>+'[7]Phase II&amp;III LT'!G21</f>
        <v>8114.9000000000024</v>
      </c>
      <c r="E14" s="782">
        <f>+'[7]Phase II&amp;III LT'!G30</f>
        <v>8807.8799999999974</v>
      </c>
      <c r="F14" s="782">
        <f>+'[7]Phase II&amp;III LT'!G39</f>
        <v>9812.39</v>
      </c>
      <c r="G14" s="782">
        <f>+'[7]Phase II&amp;III LT'!G48</f>
        <v>10573.54</v>
      </c>
      <c r="H14" s="782">
        <f>+'[7]Phase II&amp;III LT'!G57</f>
        <v>9973.35</v>
      </c>
      <c r="I14" s="782">
        <f>+'[7]Phase II&amp;III LT'!G66</f>
        <v>10481.450000000001</v>
      </c>
      <c r="J14" s="782">
        <f>+'[7]Phase II&amp;III LT'!G75</f>
        <v>9382.7900000000009</v>
      </c>
      <c r="K14" s="782">
        <f>+'[7]Phase II&amp;III LT'!G84</f>
        <v>11048.460000000003</v>
      </c>
      <c r="L14" s="782">
        <f>+'[7]Phase II&amp;III LT'!G95+'[7]Phase II&amp;III LT'!H95+'[7]Phase II&amp;III LT'!I95</f>
        <v>11821.189999999999</v>
      </c>
      <c r="M14" s="782">
        <f>+'[7]Phase II&amp;III LT'!G106+'[7]Phase II&amp;III LT'!H106+'[7]Phase II&amp;III LT'!I106</f>
        <v>12439.670000000002</v>
      </c>
      <c r="N14" s="782">
        <f>+'[7]Phase II&amp;III LT'!G117+'[7]Phase II&amp;III LT'!H117+'[7]Phase II&amp;III LT'!I117</f>
        <v>8556.6500000000015</v>
      </c>
      <c r="O14" s="783">
        <f t="shared" si="0"/>
        <v>121108.65</v>
      </c>
    </row>
    <row r="15" spans="1:15" s="901" customFormat="1" ht="16.5" x14ac:dyDescent="0.3">
      <c r="A15" s="913">
        <v>10</v>
      </c>
      <c r="B15" s="914" t="s">
        <v>717</v>
      </c>
      <c r="C15" s="782">
        <f>+'[7]Phase II&amp;III LT'!G13</f>
        <v>1138.6999999999996</v>
      </c>
      <c r="D15" s="782">
        <f>+'[7]Phase II&amp;III LT'!G22</f>
        <v>2869.8999999999978</v>
      </c>
      <c r="E15" s="782">
        <f>+'[7]Phase II&amp;III LT'!G31</f>
        <v>2615.300000000002</v>
      </c>
      <c r="F15" s="782">
        <f>+'[7]Phase II&amp;III LT'!G40</f>
        <v>2624.5999999999985</v>
      </c>
      <c r="G15" s="782">
        <f>+'[7]Phase II&amp;III LT'!G49</f>
        <v>2702.3000000000015</v>
      </c>
      <c r="H15" s="782">
        <f>+'[7]Phase II&amp;III LT'!G58</f>
        <v>2309.8000000000011</v>
      </c>
      <c r="I15" s="782">
        <f>+'[7]Phase II&amp;III LT'!G67</f>
        <v>2963.2999999999984</v>
      </c>
      <c r="J15" s="782">
        <f>+'[7]Phase II&amp;III LT'!G76</f>
        <v>2739.3999999999974</v>
      </c>
      <c r="K15" s="782">
        <f>+'[7]Phase II&amp;III LT'!G85</f>
        <v>2673.3999999999996</v>
      </c>
      <c r="L15" s="782">
        <f>+'[7]Phase II&amp;III LT'!G96+'[7]Phase II&amp;III LT'!H96+'[7]Phase II&amp;III LT'!I96</f>
        <v>2405.200000000003</v>
      </c>
      <c r="M15" s="782">
        <f>+'[7]Phase II&amp;III LT'!G107+'[7]Phase II&amp;III LT'!H107+'[7]Phase II&amp;III LT'!I107</f>
        <v>2797.3999999999969</v>
      </c>
      <c r="N15" s="782">
        <f>+'[7]Phase II&amp;III LT'!G118+'[7]Phase II&amp;III LT'!H118+'[7]Phase II&amp;III LT'!I118</f>
        <v>3115.300000000002</v>
      </c>
      <c r="O15" s="783">
        <f t="shared" si="0"/>
        <v>30954.600000000002</v>
      </c>
    </row>
    <row r="16" spans="1:15" s="901" customFormat="1" ht="16.5" x14ac:dyDescent="0.3">
      <c r="A16" s="913">
        <v>11</v>
      </c>
      <c r="B16" s="914" t="s">
        <v>329</v>
      </c>
      <c r="C16" s="782">
        <f>+'[7]Phase II&amp;III LT'!G14</f>
        <v>360</v>
      </c>
      <c r="D16" s="782">
        <f>+'[7]Phase II&amp;III LT'!G23</f>
        <v>1030</v>
      </c>
      <c r="E16" s="782">
        <f>+'[7]Phase II&amp;III LT'!G32</f>
        <v>990</v>
      </c>
      <c r="F16" s="782">
        <f>+'[7]Phase II&amp;III LT'!G41</f>
        <v>1020</v>
      </c>
      <c r="G16" s="782">
        <f>+'[7]Phase II&amp;III LT'!G50</f>
        <v>990</v>
      </c>
      <c r="H16" s="782">
        <f>+'[7]Phase II&amp;III LT'!G59</f>
        <v>940</v>
      </c>
      <c r="I16" s="782">
        <f>+'[7]Phase II&amp;III LT'!G68</f>
        <v>950</v>
      </c>
      <c r="J16" s="782">
        <f>+'[7]Phase II&amp;III LT'!G77</f>
        <v>960</v>
      </c>
      <c r="K16" s="782">
        <f>+'[7]Phase II&amp;III LT'!G86</f>
        <v>994</v>
      </c>
      <c r="L16" s="782">
        <f>+'[7]Phase II&amp;III LT'!G97+'[7]Phase II&amp;III LT'!H97+'[7]Phase II&amp;III LT'!I97</f>
        <v>994</v>
      </c>
      <c r="M16" s="782">
        <f>+'[7]Phase II&amp;III LT'!G108+'[7]Phase II&amp;III LT'!H108+'[7]Phase II&amp;III LT'!I108</f>
        <v>781.36</v>
      </c>
      <c r="N16" s="782">
        <f>+'[7]Phase II&amp;III LT'!G119+'[7]Phase II&amp;III LT'!H119+'[7]Phase II&amp;III LT'!I119</f>
        <v>871.38999999999987</v>
      </c>
      <c r="O16" s="783">
        <f t="shared" si="0"/>
        <v>10880.75</v>
      </c>
    </row>
    <row r="17" spans="1:16" s="901" customFormat="1" ht="16.5" x14ac:dyDescent="0.3">
      <c r="A17" s="913">
        <v>12</v>
      </c>
      <c r="B17" s="785" t="s">
        <v>296</v>
      </c>
      <c r="C17" s="782">
        <f>+'[5]Street Light &amp; Self'!$D$25</f>
        <v>5640</v>
      </c>
      <c r="D17" s="782">
        <f>+'[5]Street Light &amp; Self'!$D$26</f>
        <v>5890</v>
      </c>
      <c r="E17" s="782">
        <f>+'[5]Street Light &amp; Self'!$D$27</f>
        <v>5538</v>
      </c>
      <c r="F17" s="782">
        <f>+'[5]Street Light &amp; Self'!$D$28</f>
        <v>5736</v>
      </c>
      <c r="G17" s="782">
        <f>+'[5]Street Light &amp; Self'!$D$29</f>
        <v>5978</v>
      </c>
      <c r="H17" s="782">
        <f>+'[5]Street Light &amp; Self'!$D$30</f>
        <v>5418</v>
      </c>
      <c r="I17" s="782">
        <f>+'[5]Street Light &amp; Self'!$D$31</f>
        <v>5780</v>
      </c>
      <c r="J17" s="782">
        <f>+'[5]Street Light &amp; Self'!$D$32</f>
        <v>6109</v>
      </c>
      <c r="K17" s="782">
        <f>+'[5]Street Light &amp; Self'!$D$33</f>
        <v>6517</v>
      </c>
      <c r="L17" s="782">
        <f>+'[5]Street Light &amp; Self'!$D$34</f>
        <v>6536.7</v>
      </c>
      <c r="M17" s="782">
        <f>+'[5]Street Light &amp; Self'!$D$35</f>
        <v>5492.08</v>
      </c>
      <c r="N17" s="782">
        <f>+'[5]Street Light &amp; Self'!$D$36</f>
        <v>6506</v>
      </c>
      <c r="O17" s="915">
        <f>SUM(C17:N17)</f>
        <v>71140.78</v>
      </c>
    </row>
    <row r="18" spans="1:16" s="901" customFormat="1" ht="16.5" x14ac:dyDescent="0.3">
      <c r="A18" s="908"/>
      <c r="B18" s="787" t="s">
        <v>718</v>
      </c>
      <c r="C18" s="788">
        <f>SUM(C6:C17)</f>
        <v>730326.30999999971</v>
      </c>
      <c r="D18" s="788">
        <f t="shared" ref="D18:N18" si="1">SUM(D6:D17)</f>
        <v>776209.53000000014</v>
      </c>
      <c r="E18" s="788">
        <f t="shared" si="1"/>
        <v>745899.78000000014</v>
      </c>
      <c r="F18" s="788">
        <f t="shared" si="1"/>
        <v>756840.90999999992</v>
      </c>
      <c r="G18" s="788">
        <f t="shared" si="1"/>
        <v>779434.62999999977</v>
      </c>
      <c r="H18" s="788">
        <f t="shared" si="1"/>
        <v>716503.58600000013</v>
      </c>
      <c r="I18" s="788">
        <f t="shared" si="1"/>
        <v>751531.11000000034</v>
      </c>
      <c r="J18" s="788">
        <f t="shared" si="1"/>
        <v>738067.1399999999</v>
      </c>
      <c r="K18" s="788">
        <f t="shared" si="1"/>
        <v>677145.31999999972</v>
      </c>
      <c r="L18" s="788">
        <f t="shared" si="1"/>
        <v>698092.58999999973</v>
      </c>
      <c r="M18" s="788">
        <f t="shared" si="1"/>
        <v>610422.80000000016</v>
      </c>
      <c r="N18" s="788">
        <f t="shared" si="1"/>
        <v>695307.23000000033</v>
      </c>
      <c r="O18" s="789">
        <f>SUM(O6:O17)</f>
        <v>8675780.9359999988</v>
      </c>
    </row>
    <row r="19" spans="1:16" s="901" customFormat="1" ht="16.5" x14ac:dyDescent="0.3">
      <c r="A19" s="913">
        <v>1</v>
      </c>
      <c r="B19" s="790" t="s">
        <v>706</v>
      </c>
      <c r="C19" s="782">
        <f>+'[7]Phase II HT'!$G$5+'[7]Phase II HT'!$H$5+'[7]Phase II HT'!$I$5</f>
        <v>1284960</v>
      </c>
      <c r="D19" s="782">
        <f>+'[7]Phase II HT'!$G$6+'[7]Phase II HT'!$H$6+'[7]Phase II HT'!$I$6</f>
        <v>1277240</v>
      </c>
      <c r="E19" s="782">
        <f>+'[7]Phase II HT'!$G$7+'[7]Phase II HT'!$H$7+'[7]Phase II HT'!$I$7</f>
        <v>1163600</v>
      </c>
      <c r="F19" s="782">
        <f>+'[7]Phase II HT'!$G$8+'[7]Phase II HT'!$H$8+'[7]Phase II HT'!$I$8</f>
        <v>1276600</v>
      </c>
      <c r="G19" s="782">
        <f>+'[7]Phase II HT'!$G$9+'[7]Phase II HT'!$H$9+'[7]Phase II HT'!$I$9</f>
        <v>1308360</v>
      </c>
      <c r="H19" s="782">
        <f>+'[7]Phase II HT'!$G$10+'[7]Phase II HT'!$H$10+'[7]Phase II HT'!$I$10</f>
        <v>1244800</v>
      </c>
      <c r="I19" s="782">
        <f>+'[7]Phase II HT'!$G$11+'[7]Phase II HT'!$H$11+'[7]Phase II HT'!$I$11</f>
        <v>1372280</v>
      </c>
      <c r="J19" s="782">
        <f>+'[7]Phase II HT'!$G$12+'[7]Phase II HT'!$H$12+'[7]Phase II HT'!$I$12</f>
        <v>1249600</v>
      </c>
      <c r="K19" s="782">
        <f>+'[7]Phase II HT'!$G$13+'[7]Phase II HT'!$H$13+'[7]Phase II HT'!$I$13</f>
        <v>1216880</v>
      </c>
      <c r="L19" s="782">
        <f>+'[7]Phase II HT'!$G$14+'[7]Phase II HT'!$H$14+'[7]Phase II HT'!$I$14</f>
        <v>1279320</v>
      </c>
      <c r="M19" s="782">
        <f>+'[7]Phase II HT'!$G$15+'[7]Phase II HT'!$H$15+'[7]Phase II HT'!$I$15</f>
        <v>1204240</v>
      </c>
      <c r="N19" s="782">
        <f>+'[7]Phase II HT'!$G$16+'[7]Phase II HT'!$H$16+'[7]Phase II HT'!$I$16</f>
        <v>1396200</v>
      </c>
      <c r="O19" s="783">
        <f>SUM(C19:N19)</f>
        <v>15274080</v>
      </c>
    </row>
    <row r="20" spans="1:16" s="901" customFormat="1" ht="16.5" x14ac:dyDescent="0.3">
      <c r="A20" s="913">
        <v>2</v>
      </c>
      <c r="B20" s="790" t="s">
        <v>707</v>
      </c>
      <c r="C20" s="782">
        <v>0</v>
      </c>
      <c r="D20" s="782">
        <v>0</v>
      </c>
      <c r="E20" s="782">
        <v>0</v>
      </c>
      <c r="F20" s="782">
        <v>0</v>
      </c>
      <c r="G20" s="782">
        <v>0</v>
      </c>
      <c r="H20" s="782">
        <v>0</v>
      </c>
      <c r="I20" s="782">
        <v>0</v>
      </c>
      <c r="J20" s="782">
        <v>0</v>
      </c>
      <c r="K20" s="782">
        <v>0</v>
      </c>
      <c r="L20" s="782">
        <v>0</v>
      </c>
      <c r="M20" s="782">
        <v>0</v>
      </c>
      <c r="N20" s="782">
        <v>0</v>
      </c>
      <c r="O20" s="783">
        <f>SUM(C20:N20)</f>
        <v>0</v>
      </c>
    </row>
    <row r="21" spans="1:16" s="901" customFormat="1" ht="16.5" x14ac:dyDescent="0.3">
      <c r="A21" s="913">
        <v>3</v>
      </c>
      <c r="B21" s="791" t="s">
        <v>708</v>
      </c>
      <c r="C21" s="782">
        <v>0</v>
      </c>
      <c r="D21" s="782">
        <v>0</v>
      </c>
      <c r="E21" s="782">
        <v>0</v>
      </c>
      <c r="F21" s="782">
        <v>0</v>
      </c>
      <c r="G21" s="782">
        <v>0</v>
      </c>
      <c r="H21" s="782">
        <v>0</v>
      </c>
      <c r="I21" s="782">
        <v>0</v>
      </c>
      <c r="J21" s="782">
        <v>0</v>
      </c>
      <c r="K21" s="782">
        <v>0</v>
      </c>
      <c r="L21" s="782">
        <v>0</v>
      </c>
      <c r="M21" s="782">
        <v>0</v>
      </c>
      <c r="N21" s="782">
        <v>0</v>
      </c>
      <c r="O21" s="783">
        <f>SUM(C21:N21)</f>
        <v>0</v>
      </c>
      <c r="P21" s="901">
        <v>757397</v>
      </c>
    </row>
    <row r="22" spans="1:16" s="901" customFormat="1" ht="16.5" x14ac:dyDescent="0.3">
      <c r="A22" s="908"/>
      <c r="B22" s="787" t="s">
        <v>639</v>
      </c>
      <c r="C22" s="788">
        <f>SUM(C19:C21)</f>
        <v>1284960</v>
      </c>
      <c r="D22" s="788">
        <f t="shared" ref="D22:N22" si="2">SUM(D19:D21)</f>
        <v>1277240</v>
      </c>
      <c r="E22" s="788">
        <f t="shared" si="2"/>
        <v>1163600</v>
      </c>
      <c r="F22" s="788">
        <f t="shared" si="2"/>
        <v>1276600</v>
      </c>
      <c r="G22" s="788">
        <f t="shared" si="2"/>
        <v>1308360</v>
      </c>
      <c r="H22" s="788">
        <f t="shared" si="2"/>
        <v>1244800</v>
      </c>
      <c r="I22" s="788">
        <f t="shared" si="2"/>
        <v>1372280</v>
      </c>
      <c r="J22" s="788">
        <f t="shared" si="2"/>
        <v>1249600</v>
      </c>
      <c r="K22" s="788">
        <f t="shared" si="2"/>
        <v>1216880</v>
      </c>
      <c r="L22" s="788">
        <f t="shared" si="2"/>
        <v>1279320</v>
      </c>
      <c r="M22" s="788">
        <f t="shared" si="2"/>
        <v>1204240</v>
      </c>
      <c r="N22" s="788">
        <f t="shared" si="2"/>
        <v>1396200</v>
      </c>
      <c r="O22" s="789">
        <f>SUM(O19:O21)</f>
        <v>15274080</v>
      </c>
    </row>
    <row r="23" spans="1:16" s="901" customFormat="1" ht="16.5" x14ac:dyDescent="0.3">
      <c r="A23" s="913"/>
      <c r="B23" s="785" t="s">
        <v>719</v>
      </c>
      <c r="C23" s="906">
        <f>(C22+C18)/100000</f>
        <v>20.152863099999998</v>
      </c>
      <c r="D23" s="906">
        <f t="shared" ref="D23:N23" si="3">(D22+D18)/100000</f>
        <v>20.534495300000003</v>
      </c>
      <c r="E23" s="906">
        <f t="shared" si="3"/>
        <v>19.094997800000002</v>
      </c>
      <c r="F23" s="906">
        <f t="shared" si="3"/>
        <v>20.334409099999998</v>
      </c>
      <c r="G23" s="906">
        <f t="shared" si="3"/>
        <v>20.877946299999998</v>
      </c>
      <c r="H23" s="906">
        <f t="shared" si="3"/>
        <v>19.61303586</v>
      </c>
      <c r="I23" s="906">
        <f t="shared" si="3"/>
        <v>21.238111100000005</v>
      </c>
      <c r="J23" s="906">
        <f t="shared" si="3"/>
        <v>19.876671399999999</v>
      </c>
      <c r="K23" s="906">
        <f t="shared" si="3"/>
        <v>18.940253199999997</v>
      </c>
      <c r="L23" s="906">
        <f t="shared" si="3"/>
        <v>19.774125899999998</v>
      </c>
      <c r="M23" s="906">
        <f t="shared" si="3"/>
        <v>18.146628000000003</v>
      </c>
      <c r="N23" s="906">
        <f t="shared" si="3"/>
        <v>20.915072300000006</v>
      </c>
      <c r="O23" s="907">
        <f>(O22+O18)/100000</f>
        <v>239.49860935999996</v>
      </c>
    </row>
    <row r="24" spans="1:16" s="901" customFormat="1" ht="17.25" thickBot="1" x14ac:dyDescent="0.35">
      <c r="A24" s="792"/>
      <c r="B24" s="793" t="s">
        <v>298</v>
      </c>
      <c r="C24" s="794"/>
      <c r="D24" s="794"/>
      <c r="E24" s="794"/>
      <c r="F24" s="794"/>
      <c r="G24" s="794"/>
      <c r="H24" s="794"/>
      <c r="I24" s="794"/>
      <c r="J24" s="794"/>
      <c r="K24" s="794"/>
      <c r="L24" s="794"/>
      <c r="M24" s="794"/>
      <c r="N24" s="795"/>
      <c r="O24" s="796">
        <f>+'D62 FY18 LOSS'!D9</f>
        <v>243.14924999999999</v>
      </c>
    </row>
    <row r="25" spans="1:16" s="901" customFormat="1" ht="16.5" x14ac:dyDescent="0.3">
      <c r="A25" s="903"/>
      <c r="B25" s="903"/>
      <c r="C25" s="903"/>
      <c r="D25" s="903"/>
      <c r="E25" s="903"/>
      <c r="F25" s="903"/>
      <c r="G25" s="903"/>
      <c r="H25" s="903"/>
      <c r="I25" s="903"/>
      <c r="J25" s="903"/>
      <c r="K25" s="903"/>
      <c r="L25" s="903"/>
      <c r="M25" s="903"/>
      <c r="N25" s="903"/>
      <c r="O25" s="903"/>
    </row>
    <row r="26" spans="1:16" s="901" customFormat="1" x14ac:dyDescent="0.25"/>
    <row r="27" spans="1:16" s="901" customFormat="1" x14ac:dyDescent="0.25"/>
    <row r="28" spans="1:16" s="901" customFormat="1" x14ac:dyDescent="0.25"/>
    <row r="29" spans="1:16" s="901" customFormat="1" ht="16.5" x14ac:dyDescent="0.3">
      <c r="A29" s="934" t="s">
        <v>723</v>
      </c>
      <c r="B29" s="935"/>
      <c r="C29" s="521"/>
      <c r="D29"/>
      <c r="E29"/>
      <c r="F29" s="150"/>
      <c r="G29" s="150"/>
      <c r="H29" s="150"/>
      <c r="I29" s="150"/>
      <c r="J29" s="150"/>
      <c r="K29" s="150"/>
      <c r="L29" s="150"/>
      <c r="M29" s="936" t="s">
        <v>724</v>
      </c>
    </row>
    <row r="30" spans="1:16" s="901" customFormat="1" ht="16.5" x14ac:dyDescent="0.3">
      <c r="A30" s="934" t="s">
        <v>725</v>
      </c>
      <c r="B30" s="935"/>
      <c r="C30" s="521"/>
      <c r="D30"/>
      <c r="E30"/>
      <c r="F30" s="150"/>
      <c r="G30" s="150"/>
      <c r="H30" s="150"/>
      <c r="I30" s="150"/>
      <c r="J30" s="150"/>
      <c r="K30" s="150"/>
      <c r="L30" s="150"/>
      <c r="M30" s="937" t="s">
        <v>726</v>
      </c>
    </row>
    <row r="31" spans="1:16" s="901" customFormat="1" ht="16.5" x14ac:dyDescent="0.3">
      <c r="A31" s="7"/>
      <c r="B31" s="7"/>
      <c r="C31" s="521"/>
      <c r="D31"/>
      <c r="E31"/>
      <c r="F31" s="150"/>
      <c r="G31" s="150"/>
      <c r="H31" s="150"/>
      <c r="I31" s="150"/>
      <c r="J31" s="150"/>
      <c r="K31" s="150"/>
      <c r="L31" s="150"/>
      <c r="M31"/>
    </row>
    <row r="32" spans="1:16" s="901" customFormat="1" ht="16.5" x14ac:dyDescent="0.3">
      <c r="A32" s="7"/>
      <c r="B32" s="7"/>
      <c r="C32" s="521"/>
      <c r="D32" s="59"/>
      <c r="E32"/>
      <c r="F32" s="150"/>
      <c r="G32" s="150"/>
      <c r="H32" s="150"/>
      <c r="I32" s="150"/>
      <c r="J32" s="150"/>
      <c r="K32" s="150"/>
      <c r="L32" s="150"/>
      <c r="M32"/>
    </row>
    <row r="33" spans="1:13" ht="16.5" x14ac:dyDescent="0.3">
      <c r="A33" s="7"/>
      <c r="B33" s="7"/>
      <c r="C33" s="521"/>
      <c r="D33" s="59"/>
      <c r="E33"/>
      <c r="F33" s="150"/>
      <c r="G33" s="150"/>
      <c r="H33" s="150"/>
      <c r="I33" s="150"/>
      <c r="J33" s="150"/>
      <c r="K33" s="150"/>
      <c r="L33" s="150"/>
      <c r="M33"/>
    </row>
    <row r="34" spans="1:13" ht="16.5" x14ac:dyDescent="0.3">
      <c r="A34" s="7"/>
      <c r="B34" s="7"/>
      <c r="C34" s="521"/>
      <c r="D34" s="59"/>
      <c r="E34"/>
      <c r="F34" s="150"/>
      <c r="G34" s="150"/>
      <c r="H34" s="150"/>
      <c r="I34" s="150"/>
      <c r="J34" s="150"/>
      <c r="K34" s="150"/>
      <c r="L34" s="150"/>
      <c r="M34"/>
    </row>
    <row r="35" spans="1:13" ht="16.5" x14ac:dyDescent="0.3">
      <c r="A35" s="946" t="s">
        <v>731</v>
      </c>
      <c r="B35" s="939"/>
      <c r="C35" s="521"/>
      <c r="D35" s="59"/>
      <c r="E35"/>
      <c r="F35" s="150"/>
      <c r="G35" s="150"/>
      <c r="H35" s="150"/>
      <c r="I35" s="150"/>
      <c r="J35" s="150"/>
      <c r="K35" s="150"/>
      <c r="L35" s="150"/>
      <c r="M35" s="941" t="s">
        <v>728</v>
      </c>
    </row>
    <row r="36" spans="1:13" s="902" customFormat="1" ht="16.5" x14ac:dyDescent="0.3">
      <c r="A36" s="946" t="s">
        <v>732</v>
      </c>
      <c r="B36" s="942"/>
      <c r="C36" s="521"/>
      <c r="D36" s="59"/>
      <c r="E36"/>
      <c r="F36" s="150"/>
      <c r="G36" s="150"/>
      <c r="H36" s="150"/>
      <c r="I36" s="150"/>
      <c r="J36" s="150"/>
      <c r="K36" s="150"/>
      <c r="L36" s="150"/>
      <c r="M36" s="941" t="s">
        <v>730</v>
      </c>
    </row>
    <row r="40" spans="1:13" s="899" customFormat="1" x14ac:dyDescent="0.25"/>
    <row r="41" spans="1:13" s="900" customFormat="1" x14ac:dyDescent="0.25"/>
    <row r="42" spans="1:13" s="901" customFormat="1" x14ac:dyDescent="0.25"/>
    <row r="43" spans="1:13" s="901" customFormat="1" x14ac:dyDescent="0.25"/>
    <row r="44" spans="1:13" s="901" customFormat="1" x14ac:dyDescent="0.25"/>
    <row r="45" spans="1:13" s="901" customFormat="1" x14ac:dyDescent="0.25"/>
    <row r="46" spans="1:13" s="901" customFormat="1" x14ac:dyDescent="0.25"/>
    <row r="47" spans="1:13" s="901" customFormat="1" x14ac:dyDescent="0.25"/>
    <row r="48" spans="1:13" s="901" customFormat="1" x14ac:dyDescent="0.25"/>
    <row r="52" s="902" customFormat="1" x14ac:dyDescent="0.25"/>
  </sheetData>
  <mergeCells count="3">
    <mergeCell ref="A1:O1"/>
    <mergeCell ref="A2:O2"/>
    <mergeCell ref="A3:M3"/>
  </mergeCells>
  <pageMargins left="0.25" right="0.25" top="0.75" bottom="0.75" header="0.3" footer="0.3"/>
  <pageSetup paperSize="9" scale="6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0000"/>
    <pageSetUpPr fitToPage="1"/>
  </sheetPr>
  <dimension ref="B1:P43"/>
  <sheetViews>
    <sheetView topLeftCell="A22" zoomScale="70" zoomScaleNormal="70" workbookViewId="0">
      <selection activeCell="B2" sqref="B2:P43"/>
    </sheetView>
  </sheetViews>
  <sheetFormatPr defaultRowHeight="15" x14ac:dyDescent="0.25"/>
  <cols>
    <col min="3" max="3" width="50" bestFit="1" customWidth="1"/>
    <col min="4" max="4" width="9.28515625" bestFit="1" customWidth="1"/>
    <col min="5" max="15" width="10.5703125" bestFit="1" customWidth="1"/>
    <col min="16" max="16" width="11" customWidth="1"/>
    <col min="18" max="18" width="12.5703125" customWidth="1"/>
  </cols>
  <sheetData>
    <row r="1" spans="2:16" ht="15.75" thickBot="1" x14ac:dyDescent="0.3"/>
    <row r="2" spans="2:16" ht="17.25" thickBot="1" x14ac:dyDescent="0.3">
      <c r="B2" s="1181" t="s">
        <v>638</v>
      </c>
      <c r="C2" s="1182"/>
      <c r="D2" s="1182"/>
      <c r="E2" s="1182"/>
      <c r="F2" s="1182"/>
      <c r="G2" s="1182"/>
      <c r="H2" s="1182"/>
      <c r="I2" s="1182"/>
      <c r="J2" s="1182"/>
      <c r="K2" s="1182"/>
      <c r="L2" s="1182"/>
      <c r="M2" s="1182"/>
      <c r="N2" s="1182"/>
      <c r="O2" s="1182"/>
      <c r="P2" s="1183"/>
    </row>
    <row r="3" spans="2:16" ht="16.5" thickBot="1" x14ac:dyDescent="0.3">
      <c r="B3" s="1027" t="s">
        <v>621</v>
      </c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8"/>
      <c r="N3" s="1028"/>
      <c r="O3" s="1028"/>
      <c r="P3" s="1029"/>
    </row>
    <row r="4" spans="2:16" ht="16.5" x14ac:dyDescent="0.3">
      <c r="B4" s="1184" t="s">
        <v>705</v>
      </c>
      <c r="C4" s="1185"/>
      <c r="D4" s="1185"/>
      <c r="E4" s="1185"/>
      <c r="F4" s="1185"/>
      <c r="G4" s="1185"/>
      <c r="H4" s="1185"/>
      <c r="I4" s="1185"/>
      <c r="J4" s="1185"/>
      <c r="K4" s="1185"/>
      <c r="L4" s="1185"/>
      <c r="M4" s="1185"/>
      <c r="N4" s="1185"/>
      <c r="O4" s="771"/>
      <c r="P4" s="772" t="s">
        <v>294</v>
      </c>
    </row>
    <row r="5" spans="2:16" ht="30.75" customHeight="1" x14ac:dyDescent="0.25">
      <c r="B5" s="773" t="s">
        <v>27</v>
      </c>
      <c r="C5" s="774" t="s">
        <v>157</v>
      </c>
      <c r="D5" s="774" t="s">
        <v>158</v>
      </c>
      <c r="E5" s="774" t="s">
        <v>159</v>
      </c>
      <c r="F5" s="774" t="s">
        <v>160</v>
      </c>
      <c r="G5" s="775" t="s">
        <v>161</v>
      </c>
      <c r="H5" s="775" t="s">
        <v>162</v>
      </c>
      <c r="I5" s="775" t="s">
        <v>163</v>
      </c>
      <c r="J5" s="775" t="s">
        <v>164</v>
      </c>
      <c r="K5" s="775" t="s">
        <v>165</v>
      </c>
      <c r="L5" s="775" t="s">
        <v>166</v>
      </c>
      <c r="M5" s="775" t="s">
        <v>167</v>
      </c>
      <c r="N5" s="775" t="s">
        <v>168</v>
      </c>
      <c r="O5" s="775" t="s">
        <v>169</v>
      </c>
      <c r="P5" s="776" t="s">
        <v>22</v>
      </c>
    </row>
    <row r="6" spans="2:16" ht="16.5" x14ac:dyDescent="0.25">
      <c r="B6" s="777">
        <v>1</v>
      </c>
      <c r="C6" s="778">
        <v>2</v>
      </c>
      <c r="D6" s="778">
        <v>3</v>
      </c>
      <c r="E6" s="778">
        <v>4</v>
      </c>
      <c r="F6" s="778">
        <v>5</v>
      </c>
      <c r="G6" s="778">
        <v>6</v>
      </c>
      <c r="H6" s="778">
        <v>7</v>
      </c>
      <c r="I6" s="778">
        <v>8</v>
      </c>
      <c r="J6" s="778">
        <v>9</v>
      </c>
      <c r="K6" s="778">
        <v>10</v>
      </c>
      <c r="L6" s="778">
        <v>11</v>
      </c>
      <c r="M6" s="778">
        <v>12</v>
      </c>
      <c r="N6" s="778">
        <v>13</v>
      </c>
      <c r="O6" s="778">
        <v>14</v>
      </c>
      <c r="P6" s="779">
        <v>15</v>
      </c>
    </row>
    <row r="7" spans="2:16" ht="16.5" x14ac:dyDescent="0.3">
      <c r="B7" s="780">
        <v>1</v>
      </c>
      <c r="C7" s="781" t="s">
        <v>326</v>
      </c>
      <c r="D7" s="782"/>
      <c r="E7" s="782"/>
      <c r="F7" s="782"/>
      <c r="G7" s="782"/>
      <c r="H7" s="782"/>
      <c r="I7" s="782"/>
      <c r="J7" s="782"/>
      <c r="K7" s="782"/>
      <c r="L7" s="782"/>
      <c r="M7" s="782"/>
      <c r="N7" s="782"/>
      <c r="O7" s="782"/>
      <c r="P7" s="783"/>
    </row>
    <row r="8" spans="2:16" ht="16.5" x14ac:dyDescent="0.3">
      <c r="B8" s="780">
        <v>2</v>
      </c>
      <c r="C8" s="781" t="s">
        <v>327</v>
      </c>
      <c r="D8" s="782"/>
      <c r="E8" s="782"/>
      <c r="F8" s="782"/>
      <c r="G8" s="782"/>
      <c r="H8" s="782"/>
      <c r="I8" s="782"/>
      <c r="J8" s="782"/>
      <c r="K8" s="782"/>
      <c r="L8" s="782"/>
      <c r="M8" s="782"/>
      <c r="N8" s="782"/>
      <c r="O8" s="782"/>
      <c r="P8" s="783"/>
    </row>
    <row r="9" spans="2:16" ht="16.5" x14ac:dyDescent="0.3">
      <c r="B9" s="780">
        <v>3</v>
      </c>
      <c r="C9" s="781" t="s">
        <v>328</v>
      </c>
      <c r="D9" s="782">
        <v>786.89999999999986</v>
      </c>
      <c r="E9" s="782">
        <v>1040.7000000000003</v>
      </c>
      <c r="F9" s="782">
        <v>1048.1599999999996</v>
      </c>
      <c r="G9" s="782">
        <v>1263.44</v>
      </c>
      <c r="H9" s="782">
        <v>1298.5000000000002</v>
      </c>
      <c r="I9" s="782">
        <v>928.89999999999964</v>
      </c>
      <c r="J9" s="782">
        <v>1074.4000000000005</v>
      </c>
      <c r="K9" s="782">
        <v>890.5</v>
      </c>
      <c r="L9" s="782">
        <v>1001.5999999999999</v>
      </c>
      <c r="M9" s="782">
        <v>883.29999999999973</v>
      </c>
      <c r="N9" s="782">
        <v>755.09999999999991</v>
      </c>
      <c r="O9" s="782">
        <v>865.30000000000109</v>
      </c>
      <c r="P9" s="783">
        <v>11836.800000000001</v>
      </c>
    </row>
    <row r="10" spans="2:16" ht="16.5" x14ac:dyDescent="0.3">
      <c r="B10" s="780">
        <v>4</v>
      </c>
      <c r="C10" s="781" t="s">
        <v>315</v>
      </c>
      <c r="D10" s="782">
        <v>6365.9359999999933</v>
      </c>
      <c r="E10" s="782">
        <v>6847.1485200000025</v>
      </c>
      <c r="F10" s="782">
        <v>6313.5988919999972</v>
      </c>
      <c r="G10" s="782">
        <v>6836.6212600000017</v>
      </c>
      <c r="H10" s="782">
        <v>6992.6222200000011</v>
      </c>
      <c r="I10" s="782">
        <v>6068.8817920000001</v>
      </c>
      <c r="J10" s="782">
        <v>7060.2072899999994</v>
      </c>
      <c r="K10" s="782">
        <v>6488.7510599999969</v>
      </c>
      <c r="L10" s="782">
        <v>6407.1032200000045</v>
      </c>
      <c r="M10" s="782">
        <v>6424.840999999994</v>
      </c>
      <c r="N10" s="782">
        <v>6070.0160000000014</v>
      </c>
      <c r="O10" s="782">
        <v>7222.7115628000001</v>
      </c>
      <c r="P10" s="783">
        <v>79098.4388168</v>
      </c>
    </row>
    <row r="11" spans="2:16" ht="16.5" x14ac:dyDescent="0.3">
      <c r="B11" s="780">
        <v>5</v>
      </c>
      <c r="C11" s="781" t="s">
        <v>316</v>
      </c>
      <c r="D11" s="782">
        <v>3297.3099999999968</v>
      </c>
      <c r="E11" s="782">
        <v>3534.0059999999917</v>
      </c>
      <c r="F11" s="782">
        <v>2821.9210000000116</v>
      </c>
      <c r="G11" s="782">
        <v>2654.8999999999942</v>
      </c>
      <c r="H11" s="782">
        <v>3382</v>
      </c>
      <c r="I11" s="782">
        <v>3091.0010000000002</v>
      </c>
      <c r="J11" s="782">
        <v>3120.0030000000002</v>
      </c>
      <c r="K11" s="782">
        <v>3334</v>
      </c>
      <c r="L11" s="782">
        <v>3501.0059999999999</v>
      </c>
      <c r="M11" s="782">
        <v>3842.0020000000004</v>
      </c>
      <c r="N11" s="782">
        <v>3192</v>
      </c>
      <c r="O11" s="782">
        <v>3625.8890000000001</v>
      </c>
      <c r="P11" s="783">
        <v>39396.037999999993</v>
      </c>
    </row>
    <row r="12" spans="2:16" ht="16.5" x14ac:dyDescent="0.3">
      <c r="B12" s="784">
        <v>6</v>
      </c>
      <c r="C12" s="781" t="s">
        <v>317</v>
      </c>
      <c r="D12" s="896">
        <v>28986.799999999996</v>
      </c>
      <c r="E12" s="896">
        <v>32281.200000000004</v>
      </c>
      <c r="F12" s="896">
        <v>27484.499999999996</v>
      </c>
      <c r="G12" s="896">
        <v>27974</v>
      </c>
      <c r="H12" s="896">
        <v>29645.7</v>
      </c>
      <c r="I12" s="896">
        <v>27673.900000000009</v>
      </c>
      <c r="J12" s="896">
        <v>28564.399999999994</v>
      </c>
      <c r="K12" s="896">
        <v>27269</v>
      </c>
      <c r="L12" s="896">
        <v>26773.699999999997</v>
      </c>
      <c r="M12" s="896">
        <v>28013.200000000004</v>
      </c>
      <c r="N12" s="896">
        <v>24752.1</v>
      </c>
      <c r="O12" s="896">
        <v>30373.7</v>
      </c>
      <c r="P12" s="897">
        <v>339792.2</v>
      </c>
    </row>
    <row r="13" spans="2:16" ht="16.5" x14ac:dyDescent="0.3">
      <c r="B13" s="784">
        <v>7</v>
      </c>
      <c r="C13" s="781" t="s">
        <v>314</v>
      </c>
      <c r="D13" s="896"/>
      <c r="E13" s="896"/>
      <c r="F13" s="896"/>
      <c r="G13" s="896"/>
      <c r="H13" s="896"/>
      <c r="I13" s="896"/>
      <c r="J13" s="896"/>
      <c r="K13" s="896"/>
      <c r="L13" s="896"/>
      <c r="M13" s="896"/>
      <c r="N13" s="896"/>
      <c r="O13" s="896"/>
      <c r="P13" s="897"/>
    </row>
    <row r="14" spans="2:16" ht="16.5" x14ac:dyDescent="0.3">
      <c r="B14" s="780">
        <v>8</v>
      </c>
      <c r="C14" s="781" t="s">
        <v>318</v>
      </c>
      <c r="D14" s="782"/>
      <c r="E14" s="782"/>
      <c r="F14" s="782"/>
      <c r="G14" s="782"/>
      <c r="H14" s="782"/>
      <c r="I14" s="782"/>
      <c r="J14" s="782"/>
      <c r="K14" s="782"/>
      <c r="L14" s="782"/>
      <c r="M14" s="782"/>
      <c r="N14" s="782"/>
      <c r="O14" s="782"/>
      <c r="P14" s="783"/>
    </row>
    <row r="15" spans="2:16" ht="16.5" x14ac:dyDescent="0.3">
      <c r="B15" s="780">
        <v>9</v>
      </c>
      <c r="C15" s="781" t="s">
        <v>319</v>
      </c>
      <c r="D15" s="782"/>
      <c r="E15" s="782"/>
      <c r="F15" s="782"/>
      <c r="G15" s="782"/>
      <c r="H15" s="782"/>
      <c r="I15" s="782"/>
      <c r="J15" s="782"/>
      <c r="K15" s="782"/>
      <c r="L15" s="782"/>
      <c r="M15" s="782"/>
      <c r="N15" s="782"/>
      <c r="O15" s="782"/>
      <c r="P15" s="783"/>
    </row>
    <row r="16" spans="2:16" ht="16.5" x14ac:dyDescent="0.3">
      <c r="B16" s="780">
        <v>10</v>
      </c>
      <c r="C16" s="781" t="s">
        <v>320</v>
      </c>
      <c r="D16" s="782"/>
      <c r="E16" s="782"/>
      <c r="F16" s="782"/>
      <c r="G16" s="782"/>
      <c r="H16" s="782"/>
      <c r="I16" s="782"/>
      <c r="J16" s="782"/>
      <c r="K16" s="782"/>
      <c r="L16" s="782"/>
      <c r="M16" s="782"/>
      <c r="N16" s="782"/>
      <c r="O16" s="782"/>
      <c r="P16" s="783"/>
    </row>
    <row r="17" spans="2:16" ht="16.5" x14ac:dyDescent="0.3">
      <c r="B17" s="780">
        <v>11</v>
      </c>
      <c r="C17" s="781" t="s">
        <v>321</v>
      </c>
      <c r="D17" s="782"/>
      <c r="E17" s="782"/>
      <c r="F17" s="782"/>
      <c r="G17" s="782"/>
      <c r="H17" s="782"/>
      <c r="I17" s="782"/>
      <c r="J17" s="782"/>
      <c r="K17" s="782"/>
      <c r="L17" s="782"/>
      <c r="M17" s="782"/>
      <c r="N17" s="782"/>
      <c r="O17" s="782"/>
      <c r="P17" s="783"/>
    </row>
    <row r="18" spans="2:16" ht="16.5" x14ac:dyDescent="0.3">
      <c r="B18" s="780">
        <v>12</v>
      </c>
      <c r="C18" s="781" t="s">
        <v>323</v>
      </c>
      <c r="D18" s="782"/>
      <c r="E18" s="782"/>
      <c r="F18" s="782"/>
      <c r="G18" s="782"/>
      <c r="H18" s="782"/>
      <c r="I18" s="782"/>
      <c r="J18" s="782"/>
      <c r="K18" s="782"/>
      <c r="L18" s="782"/>
      <c r="M18" s="782"/>
      <c r="N18" s="782"/>
      <c r="O18" s="782"/>
      <c r="P18" s="783"/>
    </row>
    <row r="19" spans="2:16" ht="16.5" x14ac:dyDescent="0.3">
      <c r="B19" s="780">
        <v>13</v>
      </c>
      <c r="C19" s="781" t="s">
        <v>401</v>
      </c>
      <c r="D19" s="782"/>
      <c r="E19" s="782"/>
      <c r="F19" s="782"/>
      <c r="G19" s="782"/>
      <c r="H19" s="782"/>
      <c r="I19" s="782"/>
      <c r="J19" s="782"/>
      <c r="K19" s="782"/>
      <c r="L19" s="782"/>
      <c r="M19" s="782"/>
      <c r="N19" s="782"/>
      <c r="O19" s="782"/>
      <c r="P19" s="783"/>
    </row>
    <row r="20" spans="2:16" ht="16.5" x14ac:dyDescent="0.3">
      <c r="B20" s="780">
        <v>14</v>
      </c>
      <c r="C20" s="781" t="s">
        <v>322</v>
      </c>
      <c r="D20" s="782"/>
      <c r="E20" s="782"/>
      <c r="F20" s="782"/>
      <c r="G20" s="782"/>
      <c r="H20" s="782"/>
      <c r="I20" s="782"/>
      <c r="J20" s="782"/>
      <c r="K20" s="782"/>
      <c r="L20" s="782"/>
      <c r="M20" s="782"/>
      <c r="N20" s="782"/>
      <c r="O20" s="782"/>
      <c r="P20" s="783"/>
    </row>
    <row r="21" spans="2:16" ht="16.5" x14ac:dyDescent="0.3">
      <c r="B21" s="780">
        <v>15</v>
      </c>
      <c r="C21" s="781" t="s">
        <v>324</v>
      </c>
      <c r="D21" s="782">
        <v>35</v>
      </c>
      <c r="E21" s="782">
        <v>36</v>
      </c>
      <c r="F21" s="782">
        <v>36</v>
      </c>
      <c r="G21" s="782">
        <v>38</v>
      </c>
      <c r="H21" s="782">
        <v>38</v>
      </c>
      <c r="I21" s="782">
        <v>40</v>
      </c>
      <c r="J21" s="782">
        <v>35</v>
      </c>
      <c r="K21" s="782">
        <v>37</v>
      </c>
      <c r="L21" s="782">
        <v>36</v>
      </c>
      <c r="M21" s="782">
        <v>35</v>
      </c>
      <c r="N21" s="782">
        <v>32</v>
      </c>
      <c r="O21" s="782">
        <v>35</v>
      </c>
      <c r="P21" s="783">
        <v>433</v>
      </c>
    </row>
    <row r="22" spans="2:16" ht="16.5" x14ac:dyDescent="0.3">
      <c r="B22" s="780">
        <v>16</v>
      </c>
      <c r="C22" s="781" t="s">
        <v>325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345"/>
    </row>
    <row r="23" spans="2:16" ht="16.5" x14ac:dyDescent="0.3">
      <c r="B23" s="780">
        <v>17</v>
      </c>
      <c r="C23" s="781" t="s">
        <v>410</v>
      </c>
      <c r="D23" s="782">
        <v>0</v>
      </c>
      <c r="E23" s="782">
        <v>454</v>
      </c>
      <c r="F23" s="782">
        <v>388.59999999999997</v>
      </c>
      <c r="G23" s="782">
        <v>240.8</v>
      </c>
      <c r="H23" s="782">
        <v>203.5</v>
      </c>
      <c r="I23" s="782">
        <v>213.10000000000002</v>
      </c>
      <c r="J23" s="782">
        <v>219.79999999999995</v>
      </c>
      <c r="K23" s="782">
        <v>206.20000000000005</v>
      </c>
      <c r="L23" s="782">
        <v>203.5</v>
      </c>
      <c r="M23" s="782">
        <v>202.5</v>
      </c>
      <c r="N23" s="782">
        <v>176</v>
      </c>
      <c r="O23" s="782">
        <v>189</v>
      </c>
      <c r="P23" s="783">
        <v>2697</v>
      </c>
    </row>
    <row r="24" spans="2:16" ht="16.5" x14ac:dyDescent="0.3">
      <c r="B24" s="780">
        <v>18</v>
      </c>
      <c r="C24" s="785" t="s">
        <v>296</v>
      </c>
      <c r="D24" s="782"/>
      <c r="E24" s="782"/>
      <c r="F24" s="782"/>
      <c r="G24" s="782"/>
      <c r="H24" s="782"/>
      <c r="I24" s="782"/>
      <c r="J24" s="782"/>
      <c r="K24" s="782"/>
      <c r="L24" s="782"/>
      <c r="M24" s="782"/>
      <c r="N24" s="782"/>
      <c r="O24" s="782"/>
      <c r="P24" s="783"/>
    </row>
    <row r="25" spans="2:16" ht="16.5" x14ac:dyDescent="0.3">
      <c r="B25" s="786"/>
      <c r="C25" s="787" t="s">
        <v>640</v>
      </c>
      <c r="D25" s="788">
        <f t="shared" ref="D25:O25" si="0">SUM(D7:D24)</f>
        <v>39471.945999999982</v>
      </c>
      <c r="E25" s="788">
        <f t="shared" si="0"/>
        <v>44193.054519999998</v>
      </c>
      <c r="F25" s="788">
        <f t="shared" si="0"/>
        <v>38092.779892000006</v>
      </c>
      <c r="G25" s="788">
        <f t="shared" si="0"/>
        <v>39007.761259999999</v>
      </c>
      <c r="H25" s="788">
        <f t="shared" si="0"/>
        <v>41560.322220000002</v>
      </c>
      <c r="I25" s="788">
        <f t="shared" si="0"/>
        <v>38015.782792000005</v>
      </c>
      <c r="J25" s="788">
        <f t="shared" si="0"/>
        <v>40073.810289999994</v>
      </c>
      <c r="K25" s="788">
        <f t="shared" si="0"/>
        <v>38225.451059999992</v>
      </c>
      <c r="L25" s="788">
        <f t="shared" si="0"/>
        <v>37922.909220000001</v>
      </c>
      <c r="M25" s="788">
        <f t="shared" si="0"/>
        <v>39400.843000000001</v>
      </c>
      <c r="N25" s="788">
        <f t="shared" si="0"/>
        <v>34977.216</v>
      </c>
      <c r="O25" s="788">
        <f t="shared" si="0"/>
        <v>42311.600562799998</v>
      </c>
      <c r="P25" s="789">
        <f>SUM(P7:P24)</f>
        <v>473253.47681680002</v>
      </c>
    </row>
    <row r="26" spans="2:16" ht="16.5" x14ac:dyDescent="0.3">
      <c r="B26" s="780">
        <v>1</v>
      </c>
      <c r="C26" s="790" t="s">
        <v>496</v>
      </c>
      <c r="D26" s="782"/>
      <c r="E26" s="782"/>
      <c r="F26" s="782"/>
      <c r="G26" s="782"/>
      <c r="H26" s="782"/>
      <c r="I26" s="782"/>
      <c r="J26" s="782"/>
      <c r="K26" s="782"/>
      <c r="L26" s="782"/>
      <c r="M26" s="782"/>
      <c r="N26" s="782"/>
      <c r="O26" s="782"/>
      <c r="P26" s="783"/>
    </row>
    <row r="27" spans="2:16" ht="16.5" x14ac:dyDescent="0.3">
      <c r="B27" s="780">
        <v>2</v>
      </c>
      <c r="C27" s="790" t="s">
        <v>495</v>
      </c>
      <c r="D27" s="782">
        <v>0</v>
      </c>
      <c r="E27" s="782">
        <v>0</v>
      </c>
      <c r="F27" s="782">
        <v>0</v>
      </c>
      <c r="G27" s="782">
        <v>0</v>
      </c>
      <c r="H27" s="782">
        <v>0</v>
      </c>
      <c r="I27" s="782">
        <v>0</v>
      </c>
      <c r="J27" s="782">
        <v>0</v>
      </c>
      <c r="K27" s="782">
        <v>0</v>
      </c>
      <c r="L27" s="782">
        <v>0</v>
      </c>
      <c r="M27" s="782">
        <v>0</v>
      </c>
      <c r="N27" s="782">
        <v>0</v>
      </c>
      <c r="O27" s="782">
        <v>0</v>
      </c>
      <c r="P27" s="783">
        <v>0</v>
      </c>
    </row>
    <row r="28" spans="2:16" ht="16.5" x14ac:dyDescent="0.3">
      <c r="B28" s="780">
        <v>3</v>
      </c>
      <c r="C28" s="791" t="s">
        <v>66</v>
      </c>
      <c r="D28" s="782">
        <v>0</v>
      </c>
      <c r="E28" s="782">
        <v>0</v>
      </c>
      <c r="F28" s="782">
        <v>0</v>
      </c>
      <c r="G28" s="782">
        <v>0</v>
      </c>
      <c r="H28" s="782">
        <v>0</v>
      </c>
      <c r="I28" s="782">
        <v>0</v>
      </c>
      <c r="J28" s="782">
        <v>0</v>
      </c>
      <c r="K28" s="782">
        <v>0</v>
      </c>
      <c r="L28" s="782">
        <v>0</v>
      </c>
      <c r="M28" s="782">
        <v>0</v>
      </c>
      <c r="N28" s="782">
        <v>0</v>
      </c>
      <c r="O28" s="782">
        <v>0</v>
      </c>
      <c r="P28" s="783">
        <v>0</v>
      </c>
    </row>
    <row r="29" spans="2:16" ht="16.5" x14ac:dyDescent="0.3">
      <c r="B29" s="786"/>
      <c r="C29" s="787" t="s">
        <v>639</v>
      </c>
      <c r="D29" s="788">
        <f t="shared" ref="D29:O29" si="1">SUM(D26:D28)</f>
        <v>0</v>
      </c>
      <c r="E29" s="788">
        <f t="shared" si="1"/>
        <v>0</v>
      </c>
      <c r="F29" s="788">
        <f t="shared" si="1"/>
        <v>0</v>
      </c>
      <c r="G29" s="788">
        <f t="shared" si="1"/>
        <v>0</v>
      </c>
      <c r="H29" s="788">
        <f t="shared" si="1"/>
        <v>0</v>
      </c>
      <c r="I29" s="788">
        <f t="shared" si="1"/>
        <v>0</v>
      </c>
      <c r="J29" s="788">
        <f t="shared" si="1"/>
        <v>0</v>
      </c>
      <c r="K29" s="788">
        <f t="shared" si="1"/>
        <v>0</v>
      </c>
      <c r="L29" s="788">
        <f t="shared" si="1"/>
        <v>0</v>
      </c>
      <c r="M29" s="788">
        <f t="shared" si="1"/>
        <v>0</v>
      </c>
      <c r="N29" s="788">
        <f t="shared" si="1"/>
        <v>0</v>
      </c>
      <c r="O29" s="788">
        <f t="shared" si="1"/>
        <v>0</v>
      </c>
      <c r="P29" s="789">
        <f>SUM(P26:P28)</f>
        <v>0</v>
      </c>
    </row>
    <row r="30" spans="2:16" ht="16.5" x14ac:dyDescent="0.3">
      <c r="B30" s="780"/>
      <c r="C30" s="785" t="s">
        <v>641</v>
      </c>
      <c r="D30" s="906">
        <f>(D29+D25)/100000</f>
        <v>0.3947194599999998</v>
      </c>
      <c r="E30" s="906">
        <f t="shared" ref="E30:P30" si="2">(E29+E25)/100000</f>
        <v>0.44193054519999997</v>
      </c>
      <c r="F30" s="906">
        <f t="shared" si="2"/>
        <v>0.38092779892000006</v>
      </c>
      <c r="G30" s="906">
        <f t="shared" si="2"/>
        <v>0.39007761260000001</v>
      </c>
      <c r="H30" s="906">
        <f t="shared" si="2"/>
        <v>0.41560322220000001</v>
      </c>
      <c r="I30" s="906">
        <f t="shared" si="2"/>
        <v>0.38015782792000008</v>
      </c>
      <c r="J30" s="906">
        <f t="shared" si="2"/>
        <v>0.40073810289999995</v>
      </c>
      <c r="K30" s="906">
        <f t="shared" si="2"/>
        <v>0.38225451059999993</v>
      </c>
      <c r="L30" s="906">
        <f t="shared" si="2"/>
        <v>0.37922909220000001</v>
      </c>
      <c r="M30" s="906">
        <f t="shared" si="2"/>
        <v>0.39400843000000002</v>
      </c>
      <c r="N30" s="906">
        <f t="shared" si="2"/>
        <v>0.34977216</v>
      </c>
      <c r="O30" s="906">
        <f t="shared" si="2"/>
        <v>0.423116005628</v>
      </c>
      <c r="P30" s="907">
        <f t="shared" si="2"/>
        <v>4.7325347681680006</v>
      </c>
    </row>
    <row r="31" spans="2:16" ht="17.25" thickBot="1" x14ac:dyDescent="0.35">
      <c r="B31" s="792"/>
      <c r="C31" s="793" t="s">
        <v>298</v>
      </c>
      <c r="D31" s="794"/>
      <c r="E31" s="794"/>
      <c r="F31" s="794"/>
      <c r="G31" s="794"/>
      <c r="H31" s="794"/>
      <c r="I31" s="794"/>
      <c r="J31" s="794"/>
      <c r="K31" s="794"/>
      <c r="L31" s="794"/>
      <c r="M31" s="794"/>
      <c r="N31" s="794"/>
      <c r="O31" s="795"/>
      <c r="P31" s="796">
        <f>+'D62 FY18 LOSS'!D10</f>
        <v>5.7524199999999999</v>
      </c>
    </row>
    <row r="36" spans="2:14" ht="16.5" x14ac:dyDescent="0.3">
      <c r="B36" s="934" t="s">
        <v>723</v>
      </c>
      <c r="C36" s="935"/>
      <c r="D36" s="521"/>
      <c r="G36" s="150"/>
      <c r="H36" s="150"/>
      <c r="I36" s="150"/>
      <c r="J36" s="150"/>
      <c r="K36" s="150"/>
      <c r="L36" s="150"/>
      <c r="M36" s="150"/>
      <c r="N36" s="936" t="s">
        <v>724</v>
      </c>
    </row>
    <row r="37" spans="2:14" ht="16.5" x14ac:dyDescent="0.3">
      <c r="B37" s="934" t="s">
        <v>725</v>
      </c>
      <c r="C37" s="935"/>
      <c r="D37" s="521"/>
      <c r="G37" s="150"/>
      <c r="H37" s="150"/>
      <c r="I37" s="150"/>
      <c r="J37" s="150"/>
      <c r="K37" s="150"/>
      <c r="L37" s="150"/>
      <c r="M37" s="150"/>
      <c r="N37" s="937" t="s">
        <v>726</v>
      </c>
    </row>
    <row r="38" spans="2:14" ht="16.5" x14ac:dyDescent="0.3">
      <c r="B38" s="7"/>
      <c r="C38" s="7"/>
      <c r="D38" s="521"/>
      <c r="G38" s="150"/>
      <c r="H38" s="150"/>
      <c r="I38" s="150"/>
      <c r="J38" s="150"/>
      <c r="K38" s="150"/>
      <c r="L38" s="150"/>
      <c r="M38" s="150"/>
    </row>
    <row r="39" spans="2:14" ht="16.5" x14ac:dyDescent="0.3">
      <c r="B39" s="7"/>
      <c r="C39" s="7"/>
      <c r="D39" s="521"/>
      <c r="E39" s="59"/>
      <c r="G39" s="150"/>
      <c r="H39" s="150"/>
      <c r="I39" s="150"/>
      <c r="J39" s="150"/>
      <c r="K39" s="150"/>
      <c r="L39" s="150"/>
      <c r="M39" s="150"/>
    </row>
    <row r="40" spans="2:14" ht="16.5" x14ac:dyDescent="0.3">
      <c r="B40" s="7"/>
      <c r="C40" s="7"/>
      <c r="D40" s="521"/>
      <c r="E40" s="59"/>
      <c r="G40" s="150"/>
      <c r="H40" s="150"/>
      <c r="I40" s="150"/>
      <c r="J40" s="150"/>
      <c r="K40" s="150"/>
      <c r="L40" s="150"/>
      <c r="M40" s="150"/>
    </row>
    <row r="41" spans="2:14" ht="16.5" x14ac:dyDescent="0.3">
      <c r="B41" s="7"/>
      <c r="C41" s="7"/>
      <c r="D41" s="521"/>
      <c r="E41" s="59"/>
      <c r="G41" s="150"/>
      <c r="H41" s="150"/>
      <c r="I41" s="150"/>
      <c r="J41" s="150"/>
      <c r="K41" s="150"/>
      <c r="L41" s="150"/>
      <c r="M41" s="150"/>
    </row>
    <row r="42" spans="2:14" ht="16.5" x14ac:dyDescent="0.3">
      <c r="B42" s="946" t="s">
        <v>731</v>
      </c>
      <c r="C42" s="939"/>
      <c r="D42" s="521"/>
      <c r="E42" s="59"/>
      <c r="G42" s="150"/>
      <c r="H42" s="150"/>
      <c r="I42" s="150"/>
      <c r="J42" s="150"/>
      <c r="K42" s="150"/>
      <c r="L42" s="150"/>
      <c r="M42" s="150"/>
      <c r="N42" s="941" t="s">
        <v>728</v>
      </c>
    </row>
    <row r="43" spans="2:14" ht="16.5" x14ac:dyDescent="0.3">
      <c r="B43" s="946" t="s">
        <v>732</v>
      </c>
      <c r="C43" s="942"/>
      <c r="D43" s="521"/>
      <c r="E43" s="59"/>
      <c r="G43" s="150"/>
      <c r="H43" s="150"/>
      <c r="I43" s="150"/>
      <c r="J43" s="150"/>
      <c r="K43" s="150"/>
      <c r="L43" s="150"/>
      <c r="M43" s="150"/>
      <c r="N43" s="941" t="s">
        <v>730</v>
      </c>
    </row>
  </sheetData>
  <mergeCells count="3">
    <mergeCell ref="B2:P2"/>
    <mergeCell ref="B3:P3"/>
    <mergeCell ref="B4:N4"/>
  </mergeCells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0000"/>
    <pageSetUpPr fitToPage="1"/>
  </sheetPr>
  <dimension ref="B1:N43"/>
  <sheetViews>
    <sheetView topLeftCell="A31" zoomScale="70" zoomScaleNormal="70" workbookViewId="0">
      <selection activeCell="B2" sqref="B2:I43"/>
    </sheetView>
  </sheetViews>
  <sheetFormatPr defaultRowHeight="15" x14ac:dyDescent="0.2"/>
  <cols>
    <col min="1" max="1" width="9.140625" style="151"/>
    <col min="2" max="2" width="7" style="151" bestFit="1" customWidth="1"/>
    <col min="3" max="3" width="40.7109375" style="151" customWidth="1"/>
    <col min="4" max="4" width="18" style="151" bestFit="1" customWidth="1"/>
    <col min="5" max="5" width="19.28515625" style="151" bestFit="1" customWidth="1"/>
    <col min="6" max="6" width="18" style="151" bestFit="1" customWidth="1"/>
    <col min="7" max="7" width="19.28515625" style="151" bestFit="1" customWidth="1"/>
    <col min="8" max="8" width="15.28515625" style="151" bestFit="1" customWidth="1"/>
    <col min="9" max="9" width="13.85546875" style="151" customWidth="1"/>
    <col min="10" max="10" width="17.7109375" style="151" customWidth="1"/>
    <col min="11" max="11" width="14.42578125" style="151" bestFit="1" customWidth="1"/>
    <col min="12" max="16384" width="9.140625" style="151"/>
  </cols>
  <sheetData>
    <row r="1" spans="2:14" ht="18" thickBot="1" x14ac:dyDescent="0.25">
      <c r="B1" s="1191"/>
      <c r="C1" s="1191"/>
      <c r="D1" s="1191"/>
      <c r="E1" s="1191"/>
      <c r="F1" s="1191"/>
      <c r="G1" s="1191"/>
      <c r="H1" s="1191"/>
      <c r="I1" s="1191"/>
      <c r="J1" s="188"/>
      <c r="K1" s="188"/>
      <c r="L1" s="188"/>
      <c r="M1" s="188"/>
      <c r="N1" s="188"/>
    </row>
    <row r="2" spans="2:14" ht="19.5" thickBot="1" x14ac:dyDescent="0.25">
      <c r="B2" s="1192" t="s">
        <v>685</v>
      </c>
      <c r="C2" s="1193"/>
      <c r="D2" s="1193"/>
      <c r="E2" s="1193"/>
      <c r="F2" s="1193"/>
      <c r="G2" s="1193"/>
      <c r="H2" s="1193"/>
      <c r="I2" s="1194"/>
    </row>
    <row r="3" spans="2:14" ht="16.5" customHeight="1" thickBot="1" x14ac:dyDescent="0.3">
      <c r="B3" s="1186" t="s">
        <v>297</v>
      </c>
      <c r="C3" s="1187"/>
      <c r="D3" s="1187"/>
      <c r="E3" s="1187"/>
      <c r="F3" s="1187"/>
      <c r="G3" s="1187"/>
      <c r="H3" s="1187"/>
      <c r="I3" s="1188"/>
    </row>
    <row r="4" spans="2:14" ht="17.25" customHeight="1" thickBot="1" x14ac:dyDescent="0.35">
      <c r="B4" s="1189" t="s">
        <v>291</v>
      </c>
      <c r="C4" s="1190"/>
      <c r="D4" s="1190"/>
      <c r="E4" s="1190"/>
      <c r="F4" s="1190"/>
      <c r="G4" s="1190"/>
      <c r="H4" s="1190"/>
      <c r="I4" s="772" t="s">
        <v>361</v>
      </c>
    </row>
    <row r="5" spans="2:14" s="189" customFormat="1" ht="33" x14ac:dyDescent="0.2">
      <c r="B5" s="798" t="s">
        <v>27</v>
      </c>
      <c r="C5" s="799" t="s">
        <v>1</v>
      </c>
      <c r="D5" s="800" t="s">
        <v>335</v>
      </c>
      <c r="E5" s="800" t="s">
        <v>336</v>
      </c>
      <c r="F5" s="800" t="s">
        <v>337</v>
      </c>
      <c r="G5" s="800" t="s">
        <v>338</v>
      </c>
      <c r="H5" s="800" t="s">
        <v>339</v>
      </c>
      <c r="I5" s="801" t="s">
        <v>2</v>
      </c>
    </row>
    <row r="6" spans="2:14" s="187" customFormat="1" ht="17.25" thickBot="1" x14ac:dyDescent="0.3">
      <c r="B6" s="802">
        <v>1</v>
      </c>
      <c r="C6" s="803">
        <v>2</v>
      </c>
      <c r="D6" s="804">
        <v>3</v>
      </c>
      <c r="E6" s="803">
        <v>4</v>
      </c>
      <c r="F6" s="803">
        <v>5</v>
      </c>
      <c r="G6" s="803" t="s">
        <v>340</v>
      </c>
      <c r="H6" s="803" t="s">
        <v>341</v>
      </c>
      <c r="I6" s="805">
        <v>8</v>
      </c>
    </row>
    <row r="7" spans="2:14" s="190" customFormat="1" ht="17.25" x14ac:dyDescent="0.3">
      <c r="B7" s="806">
        <v>1</v>
      </c>
      <c r="C7" s="807" t="s">
        <v>342</v>
      </c>
      <c r="D7" s="811">
        <v>19694777.75</v>
      </c>
      <c r="E7" s="811">
        <f>+'[8]Collection %'!$B$7</f>
        <v>259112961.11200005</v>
      </c>
      <c r="F7" s="811">
        <f>+'[8]Collection %'!$B$8</f>
        <v>20951850.75</v>
      </c>
      <c r="G7" s="811">
        <f>+D7+E7-F7</f>
        <v>257855888.11200005</v>
      </c>
      <c r="H7" s="808">
        <f>+G7/E7*100</f>
        <v>99.514855221983041</v>
      </c>
      <c r="I7" s="809"/>
    </row>
    <row r="8" spans="2:14" s="190" customFormat="1" ht="31.5" x14ac:dyDescent="0.3">
      <c r="B8" s="810">
        <v>2</v>
      </c>
      <c r="C8" s="790" t="s">
        <v>343</v>
      </c>
      <c r="D8" s="811">
        <v>212168</v>
      </c>
      <c r="E8" s="811">
        <f>+'[8]Collection %'!$C$7</f>
        <v>2644686.02</v>
      </c>
      <c r="F8" s="811">
        <f>+'[8]Collection %'!$C$8</f>
        <v>456652</v>
      </c>
      <c r="G8" s="811">
        <f>+D8+E8-F8</f>
        <v>2400202.02</v>
      </c>
      <c r="H8" s="812">
        <f t="shared" ref="H8:H30" si="0">+G8/E8*100</f>
        <v>90.755651213371635</v>
      </c>
      <c r="I8" s="813"/>
    </row>
    <row r="9" spans="2:14" s="190" customFormat="1" ht="17.25" x14ac:dyDescent="0.3">
      <c r="B9" s="810">
        <v>3</v>
      </c>
      <c r="C9" s="791" t="s">
        <v>344</v>
      </c>
      <c r="D9" s="811">
        <v>1158707</v>
      </c>
      <c r="E9" s="811">
        <f>+'[8]Collection %'!$D$7</f>
        <v>5475106.7600000007</v>
      </c>
      <c r="F9" s="811">
        <f>+'[8]Collection %'!$D$8</f>
        <v>997570</v>
      </c>
      <c r="G9" s="811">
        <f>+D9+E9-F9</f>
        <v>5636243.7600000007</v>
      </c>
      <c r="H9" s="812">
        <f t="shared" si="0"/>
        <v>102.94308416371409</v>
      </c>
      <c r="I9" s="813"/>
    </row>
    <row r="10" spans="2:14" s="190" customFormat="1" ht="17.25" x14ac:dyDescent="0.3">
      <c r="B10" s="814"/>
      <c r="C10" s="815" t="s">
        <v>355</v>
      </c>
      <c r="D10" s="816">
        <f>SUM(D7:D9)</f>
        <v>21065652.75</v>
      </c>
      <c r="E10" s="816">
        <f>SUM(E7:E9)</f>
        <v>267232753.89200005</v>
      </c>
      <c r="F10" s="816">
        <f>SUM(F7:F9)</f>
        <v>22406072.75</v>
      </c>
      <c r="G10" s="816">
        <f>SUM(G7:G9)</f>
        <v>265892333.89200005</v>
      </c>
      <c r="H10" s="817">
        <f t="shared" si="0"/>
        <v>99.498407294585718</v>
      </c>
      <c r="I10" s="818"/>
    </row>
    <row r="11" spans="2:14" s="190" customFormat="1" ht="31.5" x14ac:dyDescent="0.3">
      <c r="B11" s="810">
        <v>1</v>
      </c>
      <c r="C11" s="819" t="s">
        <v>396</v>
      </c>
      <c r="D11" s="811">
        <v>0</v>
      </c>
      <c r="E11" s="811">
        <f>+'[8]Collection %'!$E$7</f>
        <v>290116.46666666662</v>
      </c>
      <c r="F11" s="811">
        <f>+'[8]Collection %'!$E$8</f>
        <v>0</v>
      </c>
      <c r="G11" s="811">
        <f t="shared" ref="G11:G25" si="1">+D11+E11-F11</f>
        <v>290116.46666666662</v>
      </c>
      <c r="H11" s="812">
        <f>+G11/E11*100</f>
        <v>100</v>
      </c>
      <c r="I11" s="813"/>
    </row>
    <row r="12" spans="2:14" s="190" customFormat="1" ht="31.5" x14ac:dyDescent="0.3">
      <c r="B12" s="810">
        <v>1</v>
      </c>
      <c r="C12" s="819" t="s">
        <v>345</v>
      </c>
      <c r="D12" s="811">
        <v>0</v>
      </c>
      <c r="E12" s="811">
        <f>+'[8]Collection %'!$F$7</f>
        <v>295629.05</v>
      </c>
      <c r="F12" s="811">
        <f>+'[8]Collection %'!$F$8</f>
        <v>0</v>
      </c>
      <c r="G12" s="811">
        <f t="shared" si="1"/>
        <v>295629.05</v>
      </c>
      <c r="H12" s="812">
        <f t="shared" si="0"/>
        <v>100</v>
      </c>
      <c r="I12" s="813"/>
    </row>
    <row r="13" spans="2:14" s="190" customFormat="1" ht="17.25" x14ac:dyDescent="0.3">
      <c r="B13" s="810">
        <v>2</v>
      </c>
      <c r="C13" s="819" t="s">
        <v>346</v>
      </c>
      <c r="D13" s="811">
        <v>0</v>
      </c>
      <c r="E13" s="811">
        <f>+'[8]Collection %'!$G$7</f>
        <v>1849241.0833333335</v>
      </c>
      <c r="F13" s="811">
        <f>+'[8]Collection %'!$G$8</f>
        <v>0</v>
      </c>
      <c r="G13" s="811">
        <f t="shared" si="1"/>
        <v>1849241.0833333335</v>
      </c>
      <c r="H13" s="812">
        <f t="shared" si="0"/>
        <v>100</v>
      </c>
      <c r="I13" s="813"/>
    </row>
    <row r="14" spans="2:14" s="190" customFormat="1" ht="31.5" x14ac:dyDescent="0.3">
      <c r="B14" s="810">
        <v>3</v>
      </c>
      <c r="C14" s="819" t="s">
        <v>347</v>
      </c>
      <c r="D14" s="811">
        <v>419855.11000000004</v>
      </c>
      <c r="E14" s="811">
        <f>+'[8]Collection %'!$H$7</f>
        <v>7501192.3349007992</v>
      </c>
      <c r="F14" s="811">
        <f>+'[8]Collection %'!$H$8</f>
        <v>234537.1</v>
      </c>
      <c r="G14" s="811">
        <f t="shared" si="1"/>
        <v>7686510.3449007999</v>
      </c>
      <c r="H14" s="812">
        <f t="shared" si="0"/>
        <v>102.47051404265122</v>
      </c>
      <c r="I14" s="813"/>
    </row>
    <row r="15" spans="2:14" s="190" customFormat="1" ht="31.5" x14ac:dyDescent="0.3">
      <c r="B15" s="810">
        <v>4</v>
      </c>
      <c r="C15" s="819" t="s">
        <v>348</v>
      </c>
      <c r="D15" s="811">
        <v>1018145.23</v>
      </c>
      <c r="E15" s="811">
        <f>+'[8]Collection %'!$I$7</f>
        <v>8549606.6661999989</v>
      </c>
      <c r="F15" s="811">
        <f>+'[8]Collection %'!$I$8</f>
        <v>1588962.25</v>
      </c>
      <c r="G15" s="811">
        <f t="shared" si="1"/>
        <v>7978789.6461999994</v>
      </c>
      <c r="H15" s="812">
        <f t="shared" si="0"/>
        <v>93.32347039710416</v>
      </c>
      <c r="I15" s="813"/>
    </row>
    <row r="16" spans="2:14" s="190" customFormat="1" ht="17.25" x14ac:dyDescent="0.3">
      <c r="B16" s="810">
        <v>5</v>
      </c>
      <c r="C16" s="819" t="s">
        <v>349</v>
      </c>
      <c r="D16" s="811">
        <v>20399041.330000002</v>
      </c>
      <c r="E16" s="811">
        <f>+'[8]Collection %'!$J$7</f>
        <v>305264231.93166667</v>
      </c>
      <c r="F16" s="811">
        <f>+'[8]Collection %'!$J$8</f>
        <v>29857071.809999999</v>
      </c>
      <c r="G16" s="811">
        <f t="shared" si="1"/>
        <v>295806201.45166665</v>
      </c>
      <c r="H16" s="812">
        <f t="shared" si="0"/>
        <v>96.901690571426926</v>
      </c>
      <c r="I16" s="813"/>
    </row>
    <row r="17" spans="2:11" s="190" customFormat="1" ht="17.25" x14ac:dyDescent="0.3">
      <c r="B17" s="810">
        <v>6</v>
      </c>
      <c r="C17" s="790" t="s">
        <v>350</v>
      </c>
      <c r="D17" s="811">
        <v>5479</v>
      </c>
      <c r="E17" s="811">
        <f>+'[8]Collection %'!$K$7</f>
        <v>132764.20000000001</v>
      </c>
      <c r="F17" s="811">
        <f>+'[8]Collection %'!$K$8</f>
        <v>25879</v>
      </c>
      <c r="G17" s="811">
        <f t="shared" si="1"/>
        <v>112364.20000000001</v>
      </c>
      <c r="H17" s="812">
        <f t="shared" si="0"/>
        <v>84.634411987568939</v>
      </c>
      <c r="I17" s="813"/>
    </row>
    <row r="18" spans="2:11" s="190" customFormat="1" ht="17.25" x14ac:dyDescent="0.3">
      <c r="B18" s="810">
        <v>7</v>
      </c>
      <c r="C18" s="790" t="s">
        <v>351</v>
      </c>
      <c r="D18" s="811">
        <v>4055</v>
      </c>
      <c r="E18" s="811">
        <f>+'[8]Collection %'!$L$7</f>
        <v>939158.57</v>
      </c>
      <c r="F18" s="811">
        <f>+'[8]Collection %'!$L$8</f>
        <v>97341</v>
      </c>
      <c r="G18" s="811">
        <f t="shared" si="1"/>
        <v>845872.57</v>
      </c>
      <c r="H18" s="812">
        <f t="shared" si="0"/>
        <v>90.067066097261943</v>
      </c>
      <c r="I18" s="813"/>
    </row>
    <row r="19" spans="2:11" s="190" customFormat="1" ht="17.25" x14ac:dyDescent="0.3">
      <c r="B19" s="810">
        <v>8</v>
      </c>
      <c r="C19" s="790" t="s">
        <v>352</v>
      </c>
      <c r="D19" s="811">
        <v>261488</v>
      </c>
      <c r="E19" s="811">
        <f>+'[8]Collection %'!$M$7</f>
        <v>3051798.1</v>
      </c>
      <c r="F19" s="811">
        <f>+'[8]Collection %'!$M$8</f>
        <v>479788</v>
      </c>
      <c r="G19" s="811">
        <f t="shared" si="1"/>
        <v>2833498.1</v>
      </c>
      <c r="H19" s="812">
        <f t="shared" si="0"/>
        <v>92.846840031783231</v>
      </c>
      <c r="I19" s="813"/>
    </row>
    <row r="20" spans="2:11" s="190" customFormat="1" ht="17.25" x14ac:dyDescent="0.3">
      <c r="B20" s="810">
        <v>9</v>
      </c>
      <c r="C20" s="790" t="s">
        <v>321</v>
      </c>
      <c r="D20" s="811">
        <v>-1452353.4000000001</v>
      </c>
      <c r="E20" s="811">
        <f>+'[8]Collection %'!$N$7</f>
        <v>987301.47400000005</v>
      </c>
      <c r="F20" s="811">
        <f>+'[8]Collection %'!$N$8</f>
        <v>-2179434.66</v>
      </c>
      <c r="G20" s="811">
        <f t="shared" si="1"/>
        <v>1714382.7340000002</v>
      </c>
      <c r="H20" s="812">
        <f t="shared" si="0"/>
        <v>173.6432871971991</v>
      </c>
      <c r="I20" s="813"/>
    </row>
    <row r="21" spans="2:11" s="190" customFormat="1" ht="17.25" x14ac:dyDescent="0.3">
      <c r="B21" s="810">
        <v>10</v>
      </c>
      <c r="C21" s="790" t="s">
        <v>353</v>
      </c>
      <c r="D21" s="811">
        <v>1303023.5</v>
      </c>
      <c r="E21" s="811">
        <f>+'[8]Collection %'!$O$7</f>
        <v>11887619.460000001</v>
      </c>
      <c r="F21" s="811">
        <f>+'[8]Collection %'!$O$8</f>
        <v>2305799</v>
      </c>
      <c r="G21" s="811">
        <f t="shared" si="1"/>
        <v>10884843.960000001</v>
      </c>
      <c r="H21" s="812">
        <f t="shared" si="0"/>
        <v>91.564539028405264</v>
      </c>
      <c r="I21" s="813"/>
    </row>
    <row r="22" spans="2:11" s="190" customFormat="1" ht="17.25" x14ac:dyDescent="0.3">
      <c r="B22" s="810">
        <v>11</v>
      </c>
      <c r="C22" s="790" t="s">
        <v>322</v>
      </c>
      <c r="D22" s="811">
        <v>160330.5</v>
      </c>
      <c r="E22" s="811">
        <f>+'[8]Collection %'!$P$7</f>
        <v>933653.78999999992</v>
      </c>
      <c r="F22" s="811">
        <f>+'[8]Collection %'!$P$8</f>
        <v>165687</v>
      </c>
      <c r="G22" s="811">
        <f t="shared" si="1"/>
        <v>928297.29</v>
      </c>
      <c r="H22" s="812">
        <f t="shared" si="0"/>
        <v>99.426286268275106</v>
      </c>
      <c r="I22" s="813"/>
    </row>
    <row r="23" spans="2:11" s="190" customFormat="1" ht="17.25" x14ac:dyDescent="0.3">
      <c r="B23" s="810">
        <v>12</v>
      </c>
      <c r="C23" s="790" t="s">
        <v>324</v>
      </c>
      <c r="D23" s="811">
        <v>1717888.7999999998</v>
      </c>
      <c r="E23" s="811">
        <f>+'[8]Collection %'!$Q$7</f>
        <v>8022481.1389999995</v>
      </c>
      <c r="F23" s="811">
        <f>+'[8]Collection %'!$Q$8</f>
        <v>1441436.0200000003</v>
      </c>
      <c r="G23" s="811">
        <f t="shared" si="1"/>
        <v>8298933.9189999988</v>
      </c>
      <c r="H23" s="812">
        <f t="shared" si="0"/>
        <v>103.4459760666319</v>
      </c>
      <c r="I23" s="813"/>
    </row>
    <row r="24" spans="2:11" s="190" customFormat="1" ht="17.25" x14ac:dyDescent="0.3">
      <c r="B24" s="810">
        <v>13</v>
      </c>
      <c r="C24" s="791" t="s">
        <v>354</v>
      </c>
      <c r="D24" s="811">
        <v>25401</v>
      </c>
      <c r="E24" s="811">
        <f>+'[8]Collection %'!$R$7</f>
        <v>65362.099999999991</v>
      </c>
      <c r="F24" s="811">
        <f>+'[8]Collection %'!$R$8</f>
        <v>-11119</v>
      </c>
      <c r="G24" s="811">
        <f t="shared" si="1"/>
        <v>101882.09999999999</v>
      </c>
      <c r="H24" s="812">
        <f t="shared" si="0"/>
        <v>155.87335780215142</v>
      </c>
      <c r="I24" s="813"/>
    </row>
    <row r="25" spans="2:11" s="190" customFormat="1" ht="17.25" x14ac:dyDescent="0.3">
      <c r="B25" s="810">
        <v>14</v>
      </c>
      <c r="C25" s="791" t="s">
        <v>401</v>
      </c>
      <c r="D25" s="811">
        <v>0</v>
      </c>
      <c r="E25" s="811">
        <v>53379.119999999995</v>
      </c>
      <c r="F25" s="811">
        <f>+'[8]Collection %'!$S$8</f>
        <v>0</v>
      </c>
      <c r="G25" s="811">
        <f t="shared" si="1"/>
        <v>53379.119999999995</v>
      </c>
      <c r="H25" s="812">
        <f t="shared" si="0"/>
        <v>100</v>
      </c>
      <c r="I25" s="813"/>
    </row>
    <row r="26" spans="2:11" s="190" customFormat="1" ht="17.25" x14ac:dyDescent="0.3">
      <c r="B26" s="814"/>
      <c r="C26" s="815" t="s">
        <v>356</v>
      </c>
      <c r="D26" s="820">
        <f>SUM(D11:D25)</f>
        <v>23862354.070000004</v>
      </c>
      <c r="E26" s="820">
        <f>SUM(E11:E25)</f>
        <v>349823535.48576748</v>
      </c>
      <c r="F26" s="820">
        <f>SUM(F11:F25)</f>
        <v>34005947.520000003</v>
      </c>
      <c r="G26" s="820">
        <f>SUM(G11:G25)</f>
        <v>339679942.0357675</v>
      </c>
      <c r="H26" s="817">
        <f t="shared" si="0"/>
        <v>97.100368494099598</v>
      </c>
      <c r="I26" s="818"/>
    </row>
    <row r="27" spans="2:11" s="190" customFormat="1" ht="31.5" x14ac:dyDescent="0.3">
      <c r="B27" s="810">
        <v>1</v>
      </c>
      <c r="C27" s="819" t="s">
        <v>684</v>
      </c>
      <c r="D27" s="821">
        <v>0</v>
      </c>
      <c r="E27" s="812">
        <f>+'[8]Collection %'!$T$7</f>
        <v>3018253</v>
      </c>
      <c r="F27" s="821">
        <f>+'[8]Collection %'!$T$8</f>
        <v>0</v>
      </c>
      <c r="G27" s="811">
        <f>+D27+E27-F27</f>
        <v>3018253</v>
      </c>
      <c r="H27" s="812">
        <f t="shared" si="0"/>
        <v>100</v>
      </c>
      <c r="I27" s="813"/>
    </row>
    <row r="28" spans="2:11" s="190" customFormat="1" ht="17.25" x14ac:dyDescent="0.3">
      <c r="B28" s="810">
        <v>2</v>
      </c>
      <c r="C28" s="791" t="s">
        <v>329</v>
      </c>
      <c r="D28" s="821">
        <v>0</v>
      </c>
      <c r="E28" s="812">
        <f>+'[8]Collection %'!$U$7</f>
        <v>809937.8</v>
      </c>
      <c r="F28" s="821">
        <f>+'[8]Collection %'!$U$8</f>
        <v>0</v>
      </c>
      <c r="G28" s="811">
        <f>+D28+E28-F28</f>
        <v>809937.8</v>
      </c>
      <c r="H28" s="812">
        <f t="shared" si="0"/>
        <v>100</v>
      </c>
      <c r="I28" s="813"/>
    </row>
    <row r="29" spans="2:11" s="190" customFormat="1" ht="17.25" x14ac:dyDescent="0.3">
      <c r="B29" s="822"/>
      <c r="C29" s="815" t="s">
        <v>357</v>
      </c>
      <c r="D29" s="820">
        <v>0</v>
      </c>
      <c r="E29" s="820">
        <f>SUM(E27:E28)</f>
        <v>3828190.8</v>
      </c>
      <c r="F29" s="820">
        <f>SUM(F27:F28)</f>
        <v>0</v>
      </c>
      <c r="G29" s="820">
        <f>SUM(G27:G28)</f>
        <v>3828190.8</v>
      </c>
      <c r="H29" s="817">
        <f t="shared" si="0"/>
        <v>100</v>
      </c>
      <c r="I29" s="818"/>
    </row>
    <row r="30" spans="2:11" s="193" customFormat="1" ht="17.25" thickBot="1" x14ac:dyDescent="0.35">
      <c r="B30" s="823"/>
      <c r="C30" s="824" t="s">
        <v>358</v>
      </c>
      <c r="D30" s="825">
        <f>+D29+D26+D10</f>
        <v>44928006.820000008</v>
      </c>
      <c r="E30" s="825">
        <f>+E29+E26+E10</f>
        <v>620884480.17776752</v>
      </c>
      <c r="F30" s="825">
        <f>+F29+F26+F10</f>
        <v>56412020.270000003</v>
      </c>
      <c r="G30" s="825">
        <f>+G29+G26+G10</f>
        <v>609400466.72776759</v>
      </c>
      <c r="H30" s="825">
        <f t="shared" si="0"/>
        <v>98.150378401033336</v>
      </c>
      <c r="I30" s="826"/>
      <c r="J30" s="191"/>
      <c r="K30" s="192"/>
    </row>
    <row r="36" spans="2:13" ht="16.5" x14ac:dyDescent="0.3">
      <c r="B36" s="934" t="s">
        <v>723</v>
      </c>
      <c r="C36" s="935"/>
      <c r="D36" s="521"/>
      <c r="E36"/>
      <c r="F36"/>
      <c r="G36" s="150"/>
      <c r="H36" s="150"/>
      <c r="I36" s="936" t="s">
        <v>724</v>
      </c>
      <c r="J36" s="150"/>
      <c r="K36" s="150"/>
      <c r="L36" s="150"/>
      <c r="M36" s="150"/>
    </row>
    <row r="37" spans="2:13" ht="16.5" x14ac:dyDescent="0.3">
      <c r="B37" s="934" t="s">
        <v>725</v>
      </c>
      <c r="C37" s="935"/>
      <c r="D37" s="521"/>
      <c r="E37"/>
      <c r="F37"/>
      <c r="G37" s="150"/>
      <c r="H37" s="150"/>
      <c r="I37" s="937" t="s">
        <v>726</v>
      </c>
      <c r="J37" s="150"/>
      <c r="K37" s="150"/>
      <c r="L37" s="150"/>
      <c r="M37" s="150"/>
    </row>
    <row r="38" spans="2:13" ht="16.5" x14ac:dyDescent="0.3">
      <c r="B38" s="7"/>
      <c r="C38" s="7"/>
      <c r="D38" s="521"/>
      <c r="E38"/>
      <c r="F38"/>
      <c r="G38" s="150"/>
      <c r="H38" s="150"/>
      <c r="I38"/>
      <c r="J38" s="150"/>
      <c r="K38" s="150"/>
      <c r="L38" s="150"/>
      <c r="M38" s="150"/>
    </row>
    <row r="39" spans="2:13" ht="16.5" x14ac:dyDescent="0.3">
      <c r="B39" s="7"/>
      <c r="C39" s="7"/>
      <c r="D39" s="521"/>
      <c r="E39" s="59"/>
      <c r="F39"/>
      <c r="G39" s="150"/>
      <c r="H39" s="150"/>
      <c r="I39"/>
      <c r="J39" s="150"/>
      <c r="K39" s="150"/>
      <c r="L39" s="150"/>
      <c r="M39" s="150"/>
    </row>
    <row r="40" spans="2:13" ht="16.5" x14ac:dyDescent="0.3">
      <c r="B40" s="7"/>
      <c r="C40" s="7"/>
      <c r="D40" s="521"/>
      <c r="E40" s="59"/>
      <c r="F40"/>
      <c r="G40" s="150"/>
      <c r="H40" s="150"/>
      <c r="I40"/>
      <c r="J40" s="150"/>
      <c r="K40" s="150"/>
      <c r="L40" s="150"/>
      <c r="M40" s="150"/>
    </row>
    <row r="41" spans="2:13" ht="16.5" x14ac:dyDescent="0.3">
      <c r="B41" s="7"/>
      <c r="C41" s="7"/>
      <c r="D41" s="521"/>
      <c r="E41" s="59"/>
      <c r="F41"/>
      <c r="G41" s="150"/>
      <c r="H41" s="150"/>
      <c r="I41"/>
      <c r="J41" s="150"/>
      <c r="K41" s="150"/>
      <c r="L41" s="150"/>
      <c r="M41" s="150"/>
    </row>
    <row r="42" spans="2:13" ht="16.5" x14ac:dyDescent="0.3">
      <c r="B42" s="946" t="s">
        <v>731</v>
      </c>
      <c r="C42" s="939"/>
      <c r="D42" s="521"/>
      <c r="E42" s="59"/>
      <c r="F42"/>
      <c r="G42" s="150"/>
      <c r="H42" s="150"/>
      <c r="I42" s="941" t="s">
        <v>728</v>
      </c>
      <c r="J42" s="150"/>
      <c r="K42" s="150"/>
      <c r="L42" s="150"/>
      <c r="M42" s="150"/>
    </row>
    <row r="43" spans="2:13" ht="16.5" x14ac:dyDescent="0.3">
      <c r="B43" s="946" t="s">
        <v>732</v>
      </c>
      <c r="C43" s="942"/>
      <c r="D43" s="521"/>
      <c r="E43" s="59"/>
      <c r="F43"/>
      <c r="G43" s="150"/>
      <c r="H43" s="150"/>
      <c r="I43" s="941" t="s">
        <v>730</v>
      </c>
      <c r="J43" s="150"/>
      <c r="K43" s="150"/>
      <c r="L43" s="150"/>
      <c r="M43" s="150"/>
    </row>
  </sheetData>
  <mergeCells count="4">
    <mergeCell ref="B3:I3"/>
    <mergeCell ref="B4:H4"/>
    <mergeCell ref="B1:I1"/>
    <mergeCell ref="B2:I2"/>
  </mergeCells>
  <printOptions horizontalCentered="1" verticalCentered="1"/>
  <pageMargins left="0.5" right="0.25" top="0.75" bottom="0.75" header="0.3" footer="0.3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rgb="FFC00000"/>
  </sheetPr>
  <dimension ref="B1:H51"/>
  <sheetViews>
    <sheetView topLeftCell="A32" zoomScaleNormal="100" workbookViewId="0">
      <selection activeCell="B2" sqref="B2:G51"/>
    </sheetView>
  </sheetViews>
  <sheetFormatPr defaultRowHeight="14.25" x14ac:dyDescent="0.2"/>
  <cols>
    <col min="1" max="2" width="9.140625" style="150"/>
    <col min="3" max="3" width="39" style="150" customWidth="1"/>
    <col min="4" max="4" width="9.140625" style="150"/>
    <col min="5" max="5" width="10.140625" style="150" customWidth="1"/>
    <col min="6" max="6" width="10.5703125" style="150" customWidth="1"/>
    <col min="7" max="16384" width="9.140625" style="150"/>
  </cols>
  <sheetData>
    <row r="1" spans="2:7" ht="15" thickBot="1" x14ac:dyDescent="0.25"/>
    <row r="2" spans="2:7" ht="17.25" thickBot="1" x14ac:dyDescent="0.35">
      <c r="B2" s="1195" t="s">
        <v>733</v>
      </c>
      <c r="C2" s="1196"/>
      <c r="D2" s="1196"/>
      <c r="E2" s="1196"/>
      <c r="F2" s="1196"/>
      <c r="G2" s="1197"/>
    </row>
    <row r="3" spans="2:7" ht="18" customHeight="1" thickBot="1" x14ac:dyDescent="0.35">
      <c r="B3" s="1159" t="s">
        <v>297</v>
      </c>
      <c r="C3" s="1160"/>
      <c r="D3" s="1160"/>
      <c r="E3" s="1160"/>
      <c r="F3" s="1160"/>
      <c r="G3" s="1161"/>
    </row>
    <row r="4" spans="2:7" ht="18" customHeight="1" thickBot="1" x14ac:dyDescent="0.35">
      <c r="B4" s="1168" t="s">
        <v>291</v>
      </c>
      <c r="C4" s="1204"/>
      <c r="D4" s="1204"/>
      <c r="E4" s="1204"/>
      <c r="F4" s="1204"/>
      <c r="G4" s="827" t="s">
        <v>292</v>
      </c>
    </row>
    <row r="5" spans="2:7" ht="15" x14ac:dyDescent="0.2">
      <c r="B5" s="1198" t="s">
        <v>0</v>
      </c>
      <c r="C5" s="1200" t="s">
        <v>1</v>
      </c>
      <c r="D5" s="1200" t="s">
        <v>120</v>
      </c>
      <c r="E5" s="1200" t="s">
        <v>402</v>
      </c>
      <c r="F5" s="1200"/>
      <c r="G5" s="1202" t="s">
        <v>2</v>
      </c>
    </row>
    <row r="6" spans="2:7" ht="30" x14ac:dyDescent="0.2">
      <c r="B6" s="1199"/>
      <c r="C6" s="1201"/>
      <c r="D6" s="1201"/>
      <c r="E6" s="828" t="s">
        <v>3</v>
      </c>
      <c r="F6" s="829" t="s">
        <v>687</v>
      </c>
      <c r="G6" s="1203"/>
    </row>
    <row r="7" spans="2:7" ht="15.75" thickBot="1" x14ac:dyDescent="0.25">
      <c r="B7" s="830">
        <v>1</v>
      </c>
      <c r="C7" s="831">
        <v>2</v>
      </c>
      <c r="D7" s="831">
        <v>3</v>
      </c>
      <c r="E7" s="831">
        <v>4</v>
      </c>
      <c r="F7" s="831">
        <v>5</v>
      </c>
      <c r="G7" s="832">
        <v>6</v>
      </c>
    </row>
    <row r="8" spans="2:7" ht="16.5" x14ac:dyDescent="0.3">
      <c r="B8" s="833" t="s">
        <v>213</v>
      </c>
      <c r="C8" s="834" t="s">
        <v>648</v>
      </c>
      <c r="D8" s="835"/>
      <c r="E8" s="835"/>
      <c r="F8" s="835"/>
      <c r="G8" s="836"/>
    </row>
    <row r="9" spans="2:7" ht="16.5" x14ac:dyDescent="0.3">
      <c r="B9" s="837" t="s">
        <v>123</v>
      </c>
      <c r="C9" s="838" t="s">
        <v>18</v>
      </c>
      <c r="D9" s="839"/>
      <c r="E9" s="840">
        <f>+'D21-ERC-FY18'!Q33</f>
        <v>6208.2847190455905</v>
      </c>
      <c r="F9" s="841">
        <v>5957.64</v>
      </c>
      <c r="G9" s="842"/>
    </row>
    <row r="10" spans="2:7" ht="16.5" x14ac:dyDescent="0.3">
      <c r="B10" s="837" t="s">
        <v>124</v>
      </c>
      <c r="C10" s="838" t="s">
        <v>655</v>
      </c>
      <c r="D10" s="839"/>
      <c r="E10" s="841">
        <v>0</v>
      </c>
      <c r="F10" s="841">
        <v>0</v>
      </c>
      <c r="G10" s="842"/>
    </row>
    <row r="11" spans="2:7" ht="16.5" x14ac:dyDescent="0.3">
      <c r="B11" s="837" t="s">
        <v>645</v>
      </c>
      <c r="C11" s="838" t="s">
        <v>656</v>
      </c>
      <c r="D11" s="839"/>
      <c r="E11" s="840">
        <f>+'D24- NTI'!D15</f>
        <v>97.358655683184992</v>
      </c>
      <c r="F11" s="840">
        <v>70.67</v>
      </c>
      <c r="G11" s="842"/>
    </row>
    <row r="12" spans="2:7" ht="16.5" x14ac:dyDescent="0.3">
      <c r="B12" s="843"/>
      <c r="C12" s="844" t="s">
        <v>171</v>
      </c>
      <c r="D12" s="845"/>
      <c r="E12" s="846">
        <f>SUM(E9:E11)</f>
        <v>6305.6433747287756</v>
      </c>
      <c r="F12" s="846">
        <f>SUM(F9:F11)</f>
        <v>6028.31</v>
      </c>
      <c r="G12" s="842"/>
    </row>
    <row r="13" spans="2:7" ht="16.5" x14ac:dyDescent="0.3">
      <c r="B13" s="837" t="s">
        <v>643</v>
      </c>
      <c r="C13" s="847" t="s">
        <v>172</v>
      </c>
      <c r="D13" s="839"/>
      <c r="E13" s="841"/>
      <c r="F13" s="841"/>
      <c r="G13" s="842"/>
    </row>
    <row r="14" spans="2:7" ht="16.5" x14ac:dyDescent="0.3">
      <c r="B14" s="837" t="s">
        <v>123</v>
      </c>
      <c r="C14" s="838" t="s">
        <v>657</v>
      </c>
      <c r="D14" s="839"/>
      <c r="E14" s="840">
        <f>+'D34 FY18 O&amp;M'!D67/100000</f>
        <v>380.27037260000003</v>
      </c>
      <c r="F14" s="840">
        <v>330.69</v>
      </c>
      <c r="G14" s="842"/>
    </row>
    <row r="15" spans="2:7" ht="16.5" x14ac:dyDescent="0.3">
      <c r="B15" s="837" t="s">
        <v>124</v>
      </c>
      <c r="C15" s="838" t="s">
        <v>658</v>
      </c>
      <c r="D15" s="839"/>
      <c r="E15" s="840">
        <f>+'D34 FY18 O&amp;M'!D28/100000</f>
        <v>21.808857599999996</v>
      </c>
      <c r="F15" s="840">
        <v>18.14</v>
      </c>
      <c r="G15" s="842"/>
    </row>
    <row r="16" spans="2:7" ht="16.5" x14ac:dyDescent="0.3">
      <c r="B16" s="837" t="s">
        <v>645</v>
      </c>
      <c r="C16" s="838" t="s">
        <v>659</v>
      </c>
      <c r="D16" s="839"/>
      <c r="E16" s="840">
        <f>+'D34 FY18 O&amp;M'!D53/100000</f>
        <v>194.80755009999999</v>
      </c>
      <c r="F16" s="840">
        <v>227.34</v>
      </c>
      <c r="G16" s="842"/>
    </row>
    <row r="17" spans="2:8" ht="16.5" x14ac:dyDescent="0.3">
      <c r="B17" s="837" t="s">
        <v>143</v>
      </c>
      <c r="C17" s="838" t="s">
        <v>9</v>
      </c>
      <c r="D17" s="839"/>
      <c r="E17" s="840">
        <f>+'D35 FY18 DEPR'!G31/100000</f>
        <v>299.86310452730442</v>
      </c>
      <c r="F17" s="840">
        <v>281</v>
      </c>
      <c r="G17" s="842"/>
    </row>
    <row r="18" spans="2:8" ht="16.5" x14ac:dyDescent="0.3">
      <c r="B18" s="837" t="s">
        <v>144</v>
      </c>
      <c r="C18" s="838" t="s">
        <v>660</v>
      </c>
      <c r="D18" s="839"/>
      <c r="E18" s="933">
        <f>+'D36 FY18 I&amp;F'!C37+'[4]Balancesheet P&amp;L'!$E$103/100000</f>
        <v>199.59634659</v>
      </c>
      <c r="F18" s="840">
        <v>216.55</v>
      </c>
      <c r="G18" s="842"/>
      <c r="H18" s="150" t="s">
        <v>696</v>
      </c>
    </row>
    <row r="19" spans="2:8" ht="16.5" x14ac:dyDescent="0.3">
      <c r="B19" s="837" t="s">
        <v>146</v>
      </c>
      <c r="C19" s="838" t="s">
        <v>661</v>
      </c>
      <c r="D19" s="839"/>
      <c r="E19" s="846">
        <f>SUM(E14:E18)</f>
        <v>1096.3462314173044</v>
      </c>
      <c r="F19" s="846">
        <f>SUM(F14:F18)</f>
        <v>1073.72</v>
      </c>
      <c r="G19" s="842"/>
    </row>
    <row r="20" spans="2:8" ht="16.5" x14ac:dyDescent="0.3">
      <c r="B20" s="837" t="s">
        <v>646</v>
      </c>
      <c r="C20" s="838" t="s">
        <v>662</v>
      </c>
      <c r="D20" s="839"/>
      <c r="E20" s="841"/>
      <c r="F20" s="841"/>
      <c r="G20" s="842"/>
    </row>
    <row r="21" spans="2:8" ht="16.5" x14ac:dyDescent="0.3">
      <c r="B21" s="837"/>
      <c r="C21" s="848" t="s">
        <v>173</v>
      </c>
      <c r="D21" s="839"/>
      <c r="E21" s="840">
        <v>0</v>
      </c>
      <c r="F21" s="840">
        <v>0</v>
      </c>
      <c r="G21" s="842"/>
    </row>
    <row r="22" spans="2:8" ht="16.5" x14ac:dyDescent="0.3">
      <c r="B22" s="837"/>
      <c r="C22" s="848" t="s">
        <v>174</v>
      </c>
      <c r="D22" s="839"/>
      <c r="E22" s="841"/>
      <c r="F22" s="841"/>
      <c r="G22" s="842"/>
    </row>
    <row r="23" spans="2:8" ht="16.5" x14ac:dyDescent="0.3">
      <c r="B23" s="837" t="s">
        <v>647</v>
      </c>
      <c r="C23" s="838" t="s">
        <v>663</v>
      </c>
      <c r="D23" s="839"/>
      <c r="E23" s="841"/>
      <c r="F23" s="841"/>
      <c r="G23" s="842"/>
    </row>
    <row r="24" spans="2:8" ht="16.5" x14ac:dyDescent="0.3">
      <c r="B24" s="837" t="s">
        <v>644</v>
      </c>
      <c r="C24" s="838" t="s">
        <v>664</v>
      </c>
      <c r="D24" s="839"/>
      <c r="E24" s="841"/>
      <c r="F24" s="841"/>
      <c r="G24" s="842"/>
    </row>
    <row r="25" spans="2:8" ht="16.5" x14ac:dyDescent="0.3">
      <c r="B25" s="837" t="s">
        <v>649</v>
      </c>
      <c r="C25" s="838" t="s">
        <v>665</v>
      </c>
      <c r="D25" s="839"/>
      <c r="E25" s="840">
        <f>+'D31-FY17-PPURCHASE'!K14</f>
        <v>5257.9382894999999</v>
      </c>
      <c r="F25" s="840">
        <v>4975.5200000000004</v>
      </c>
      <c r="G25" s="842"/>
    </row>
    <row r="26" spans="2:8" ht="16.5" x14ac:dyDescent="0.3">
      <c r="B26" s="837" t="s">
        <v>650</v>
      </c>
      <c r="C26" s="844" t="s">
        <v>666</v>
      </c>
      <c r="D26" s="839"/>
      <c r="E26" s="841"/>
      <c r="F26" s="841"/>
      <c r="G26" s="842"/>
    </row>
    <row r="27" spans="2:8" ht="16.5" x14ac:dyDescent="0.3">
      <c r="B27" s="837" t="s">
        <v>651</v>
      </c>
      <c r="C27" s="844" t="s">
        <v>667</v>
      </c>
      <c r="D27" s="839"/>
      <c r="E27" s="840">
        <f>+'D38 FY18 ROI'!E10</f>
        <v>123.04843090166088</v>
      </c>
      <c r="F27" s="840">
        <v>120.76</v>
      </c>
      <c r="G27" s="842"/>
    </row>
    <row r="28" spans="2:8" ht="16.5" x14ac:dyDescent="0.3">
      <c r="B28" s="849"/>
      <c r="C28" s="850" t="s">
        <v>175</v>
      </c>
      <c r="D28" s="851"/>
      <c r="E28" s="852">
        <f>E19-E21+E23+E24+E25+E26+E27</f>
        <v>6477.3329518189657</v>
      </c>
      <c r="F28" s="852">
        <f>F19-F21+F23+F24+F25+F26+F27</f>
        <v>6170.0000000000009</v>
      </c>
      <c r="G28" s="853"/>
    </row>
    <row r="29" spans="2:8" ht="16.5" x14ac:dyDescent="0.3">
      <c r="B29" s="837" t="s">
        <v>652</v>
      </c>
      <c r="C29" s="847" t="s">
        <v>653</v>
      </c>
      <c r="D29" s="839"/>
      <c r="E29" s="846">
        <f>E12-E28</f>
        <v>-171.68957709019014</v>
      </c>
      <c r="F29" s="846">
        <f>F12-F28</f>
        <v>-141.69000000000051</v>
      </c>
      <c r="G29" s="842"/>
    </row>
    <row r="30" spans="2:8" ht="16.5" x14ac:dyDescent="0.3">
      <c r="B30" s="837" t="s">
        <v>654</v>
      </c>
      <c r="C30" s="847" t="s">
        <v>668</v>
      </c>
      <c r="D30" s="839"/>
      <c r="E30" s="841">
        <v>0</v>
      </c>
      <c r="F30" s="841">
        <v>0</v>
      </c>
      <c r="G30" s="842"/>
    </row>
    <row r="31" spans="2:8" ht="16.5" x14ac:dyDescent="0.3">
      <c r="B31" s="837" t="s">
        <v>267</v>
      </c>
      <c r="C31" s="847" t="s">
        <v>669</v>
      </c>
      <c r="D31" s="839"/>
      <c r="E31" s="841">
        <v>0</v>
      </c>
      <c r="F31" s="841">
        <v>0</v>
      </c>
      <c r="G31" s="842"/>
    </row>
    <row r="32" spans="2:8" ht="16.5" x14ac:dyDescent="0.3">
      <c r="B32" s="837" t="s">
        <v>274</v>
      </c>
      <c r="C32" s="847" t="s">
        <v>670</v>
      </c>
      <c r="D32" s="839"/>
      <c r="E32" s="846">
        <f>E29-E30-E31</f>
        <v>-171.68957709019014</v>
      </c>
      <c r="F32" s="846">
        <f>F29-F30-F31</f>
        <v>-141.69000000000051</v>
      </c>
      <c r="G32" s="842"/>
    </row>
    <row r="33" spans="2:7" ht="30" x14ac:dyDescent="0.3">
      <c r="B33" s="837" t="s">
        <v>276</v>
      </c>
      <c r="C33" s="854" t="s">
        <v>671</v>
      </c>
      <c r="D33" s="839"/>
      <c r="E33" s="840">
        <f>+'D35 FY18 DEPR'!E45/100000</f>
        <v>4101.6143633886959</v>
      </c>
      <c r="F33" s="840">
        <v>4025.3362317880001</v>
      </c>
      <c r="G33" s="842"/>
    </row>
    <row r="34" spans="2:7" ht="17.25" thickBot="1" x14ac:dyDescent="0.35">
      <c r="B34" s="855" t="s">
        <v>278</v>
      </c>
      <c r="C34" s="856" t="s">
        <v>672</v>
      </c>
      <c r="D34" s="857"/>
      <c r="E34" s="858">
        <f>E32*100/E33</f>
        <v>-4.1859024734919892</v>
      </c>
      <c r="F34" s="858">
        <f>F32*100/F33</f>
        <v>-3.5199544048290279</v>
      </c>
      <c r="G34" s="859"/>
    </row>
    <row r="39" spans="2:7" ht="16.5" x14ac:dyDescent="0.3">
      <c r="B39" s="934" t="s">
        <v>723</v>
      </c>
      <c r="C39" s="935"/>
      <c r="D39" s="935"/>
      <c r="E39" s="7"/>
      <c r="F39" s="7"/>
      <c r="G39" s="936" t="s">
        <v>724</v>
      </c>
    </row>
    <row r="40" spans="2:7" ht="16.5" x14ac:dyDescent="0.3">
      <c r="B40" s="934" t="s">
        <v>725</v>
      </c>
      <c r="C40" s="935"/>
      <c r="D40" s="935"/>
      <c r="E40" s="7"/>
      <c r="F40" s="7"/>
      <c r="G40" s="937" t="s">
        <v>726</v>
      </c>
    </row>
    <row r="41" spans="2:7" ht="15" x14ac:dyDescent="0.25">
      <c r="B41" s="7"/>
      <c r="C41" s="7"/>
      <c r="D41" s="7"/>
      <c r="E41" s="7"/>
      <c r="F41" s="938"/>
      <c r="G41" s="7"/>
    </row>
    <row r="42" spans="2:7" ht="15" x14ac:dyDescent="0.25">
      <c r="B42" s="7"/>
      <c r="C42" s="7"/>
      <c r="D42" s="7"/>
      <c r="E42" s="7"/>
      <c r="F42" s="938"/>
      <c r="G42" s="7"/>
    </row>
    <row r="43" spans="2:7" ht="15" x14ac:dyDescent="0.25">
      <c r="B43" s="7"/>
      <c r="C43" s="7"/>
      <c r="D43" s="7"/>
      <c r="E43" s="7"/>
      <c r="F43" s="938"/>
      <c r="G43" s="7"/>
    </row>
    <row r="44" spans="2:7" ht="15" x14ac:dyDescent="0.25">
      <c r="B44" s="7"/>
      <c r="C44" s="7"/>
      <c r="D44" s="7"/>
      <c r="E44" s="7"/>
      <c r="F44" s="7"/>
      <c r="G44" s="7"/>
    </row>
    <row r="45" spans="2:7" ht="15" x14ac:dyDescent="0.25">
      <c r="B45" s="939" t="s">
        <v>727</v>
      </c>
      <c r="C45" s="939"/>
      <c r="D45" s="940"/>
      <c r="E45" s="7"/>
      <c r="F45" s="7"/>
      <c r="G45" s="941" t="s">
        <v>728</v>
      </c>
    </row>
    <row r="46" spans="2:7" ht="15" x14ac:dyDescent="0.25">
      <c r="B46" s="942" t="s">
        <v>729</v>
      </c>
      <c r="C46" s="942"/>
      <c r="D46" s="940"/>
      <c r="E46" s="7"/>
      <c r="F46" s="943"/>
      <c r="G46" s="941" t="s">
        <v>730</v>
      </c>
    </row>
    <row r="47" spans="2:7" ht="15" x14ac:dyDescent="0.25">
      <c r="B47" s="944"/>
      <c r="C47" s="944"/>
      <c r="D47" s="944"/>
      <c r="E47" s="944"/>
      <c r="F47" s="7"/>
      <c r="G47" s="7"/>
    </row>
    <row r="48" spans="2:7" ht="15" x14ac:dyDescent="0.25">
      <c r="B48" s="944"/>
      <c r="C48" s="944"/>
      <c r="D48" s="944"/>
      <c r="E48" s="7"/>
      <c r="F48" s="941"/>
      <c r="G48" s="7"/>
    </row>
    <row r="49" spans="2:7" ht="15.75" x14ac:dyDescent="0.3">
      <c r="B49" s="7"/>
      <c r="C49" s="944"/>
      <c r="D49" s="944"/>
      <c r="E49" s="7"/>
      <c r="F49" s="945"/>
      <c r="G49" s="7"/>
    </row>
    <row r="50" spans="2:7" ht="15.75" x14ac:dyDescent="0.3">
      <c r="B50" s="946" t="s">
        <v>731</v>
      </c>
      <c r="C50" s="944"/>
      <c r="D50" s="944"/>
      <c r="E50" s="947"/>
      <c r="F50" s="945"/>
      <c r="G50" s="7"/>
    </row>
    <row r="51" spans="2:7" ht="15" x14ac:dyDescent="0.25">
      <c r="B51" s="946" t="s">
        <v>732</v>
      </c>
      <c r="C51" s="948"/>
      <c r="D51" s="948"/>
      <c r="E51" s="948"/>
      <c r="F51" s="949"/>
      <c r="G51" s="7"/>
    </row>
  </sheetData>
  <mergeCells count="8">
    <mergeCell ref="B2:G2"/>
    <mergeCell ref="B5:B6"/>
    <mergeCell ref="C5:C6"/>
    <mergeCell ref="D5:D6"/>
    <mergeCell ref="E5:F5"/>
    <mergeCell ref="G5:G6"/>
    <mergeCell ref="B3:G3"/>
    <mergeCell ref="B4:F4"/>
  </mergeCells>
  <printOptions horizontalCentered="1" verticalCentered="1"/>
  <pageMargins left="0.7" right="0.7" top="0.75" bottom="0.75" header="0.3" footer="0.3"/>
  <pageSetup paperSize="9" scale="91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0000"/>
    <pageSetUpPr fitToPage="1"/>
  </sheetPr>
  <dimension ref="B1:G69"/>
  <sheetViews>
    <sheetView topLeftCell="A3" zoomScale="70" zoomScaleNormal="70" workbookViewId="0">
      <selection activeCell="B3" sqref="B2:G69"/>
    </sheetView>
  </sheetViews>
  <sheetFormatPr defaultRowHeight="12.75" x14ac:dyDescent="0.2"/>
  <cols>
    <col min="1" max="2" width="9.140625" style="797"/>
    <col min="3" max="3" width="61" style="797" customWidth="1"/>
    <col min="4" max="4" width="11.85546875" style="797" customWidth="1"/>
    <col min="5" max="6" width="17.85546875" style="797" bestFit="1" customWidth="1"/>
    <col min="7" max="7" width="17.85546875" style="797" customWidth="1"/>
    <col min="8" max="16384" width="9.140625" style="797"/>
  </cols>
  <sheetData>
    <row r="1" spans="2:7" ht="15.75" customHeight="1" thickBot="1" x14ac:dyDescent="0.3">
      <c r="B1" s="1205"/>
      <c r="C1" s="1205"/>
      <c r="D1" s="1205"/>
      <c r="E1" s="1205"/>
      <c r="F1" s="1205"/>
      <c r="G1" s="1205"/>
    </row>
    <row r="2" spans="2:7" ht="17.25" thickBot="1" x14ac:dyDescent="0.35">
      <c r="B2" s="1018" t="s">
        <v>679</v>
      </c>
      <c r="C2" s="1019"/>
      <c r="D2" s="1019"/>
      <c r="E2" s="1019"/>
      <c r="F2" s="1019"/>
      <c r="G2" s="1020"/>
    </row>
    <row r="3" spans="2:7" ht="16.5" thickBot="1" x14ac:dyDescent="0.3">
      <c r="B3" s="1027" t="s">
        <v>297</v>
      </c>
      <c r="C3" s="1028"/>
      <c r="D3" s="1028"/>
      <c r="E3" s="1028"/>
      <c r="F3" s="1028"/>
      <c r="G3" s="1029"/>
    </row>
    <row r="4" spans="2:7" ht="17.25" thickBot="1" x14ac:dyDescent="0.35">
      <c r="B4" s="1212" t="s">
        <v>291</v>
      </c>
      <c r="C4" s="1213"/>
      <c r="D4" s="1213"/>
      <c r="E4" s="1213"/>
      <c r="F4" s="1213"/>
      <c r="G4" s="860" t="s">
        <v>361</v>
      </c>
    </row>
    <row r="5" spans="2:7" ht="16.5" x14ac:dyDescent="0.2">
      <c r="B5" s="1208" t="s">
        <v>0</v>
      </c>
      <c r="C5" s="1210" t="s">
        <v>1</v>
      </c>
      <c r="D5" s="1210" t="s">
        <v>120</v>
      </c>
      <c r="E5" s="747" t="s">
        <v>402</v>
      </c>
      <c r="F5" s="747" t="s">
        <v>392</v>
      </c>
      <c r="G5" s="1206" t="s">
        <v>2</v>
      </c>
    </row>
    <row r="6" spans="2:7" ht="16.5" x14ac:dyDescent="0.2">
      <c r="B6" s="1209"/>
      <c r="C6" s="1211"/>
      <c r="D6" s="1211"/>
      <c r="E6" s="388" t="s">
        <v>3</v>
      </c>
      <c r="F6" s="388" t="s">
        <v>3</v>
      </c>
      <c r="G6" s="1207"/>
    </row>
    <row r="7" spans="2:7" ht="17.25" thickBot="1" x14ac:dyDescent="0.25">
      <c r="B7" s="749">
        <v>1</v>
      </c>
      <c r="C7" s="750">
        <v>2</v>
      </c>
      <c r="D7" s="750">
        <v>3</v>
      </c>
      <c r="E7" s="750">
        <v>4</v>
      </c>
      <c r="F7" s="750">
        <v>5</v>
      </c>
      <c r="G7" s="751">
        <v>6</v>
      </c>
    </row>
    <row r="8" spans="2:7" ht="16.5" x14ac:dyDescent="0.3">
      <c r="B8" s="861"/>
      <c r="C8" s="862" t="s">
        <v>176</v>
      </c>
      <c r="D8" s="863"/>
      <c r="E8" s="864"/>
      <c r="F8" s="864"/>
      <c r="G8" s="865"/>
    </row>
    <row r="9" spans="2:7" ht="16.5" x14ac:dyDescent="0.3">
      <c r="B9" s="866" t="s">
        <v>673</v>
      </c>
      <c r="C9" s="867" t="s">
        <v>676</v>
      </c>
      <c r="D9" s="868"/>
      <c r="E9" s="869"/>
      <c r="F9" s="869"/>
      <c r="G9" s="870"/>
    </row>
    <row r="10" spans="2:7" ht="15.75" x14ac:dyDescent="0.25">
      <c r="B10" s="871"/>
      <c r="C10" s="872" t="s">
        <v>395</v>
      </c>
      <c r="D10" s="873"/>
      <c r="E10" s="891">
        <f>+'[4]Balancesheet P&amp;L'!$C$10</f>
        <v>1227518613</v>
      </c>
      <c r="F10" s="891">
        <f>+'[9]Balancesheet P&amp;L'!$C$10</f>
        <v>1024299663</v>
      </c>
      <c r="G10" s="874"/>
    </row>
    <row r="11" spans="2:7" ht="15.75" x14ac:dyDescent="0.25">
      <c r="B11" s="871"/>
      <c r="C11" s="872" t="s">
        <v>177</v>
      </c>
      <c r="D11" s="873"/>
      <c r="E11" s="891">
        <f>+'[4]Balancesheet P&amp;L'!$D$15+'[4]Balancesheet P&amp;L'!$C$11</f>
        <v>-150570503.50273046</v>
      </c>
      <c r="F11" s="891">
        <f>+'[9]Balancesheet P&amp;L'!$D$15+'[9]Balancesheet P&amp;L'!$C$11</f>
        <v>-145736367.78000006</v>
      </c>
      <c r="G11" s="874"/>
    </row>
    <row r="12" spans="2:7" ht="16.5" x14ac:dyDescent="0.3">
      <c r="B12" s="871"/>
      <c r="C12" s="867" t="s">
        <v>178</v>
      </c>
      <c r="D12" s="873"/>
      <c r="E12" s="892">
        <f>SUM(E10:E11)</f>
        <v>1076948109.4972696</v>
      </c>
      <c r="F12" s="892">
        <f>SUM(F10:F11)</f>
        <v>878563295.21999991</v>
      </c>
      <c r="G12" s="874"/>
    </row>
    <row r="13" spans="2:7" ht="16.5" x14ac:dyDescent="0.3">
      <c r="B13" s="866" t="s">
        <v>674</v>
      </c>
      <c r="C13" s="867" t="s">
        <v>677</v>
      </c>
      <c r="D13" s="868"/>
      <c r="E13" s="892"/>
      <c r="F13" s="892"/>
      <c r="G13" s="870"/>
    </row>
    <row r="14" spans="2:7" ht="15.75" x14ac:dyDescent="0.25">
      <c r="B14" s="871"/>
      <c r="C14" s="872" t="s">
        <v>179</v>
      </c>
      <c r="D14" s="873"/>
      <c r="E14" s="891"/>
      <c r="F14" s="891"/>
      <c r="G14" s="874"/>
    </row>
    <row r="15" spans="2:7" ht="15.75" x14ac:dyDescent="0.25">
      <c r="B15" s="871"/>
      <c r="C15" s="875" t="s">
        <v>180</v>
      </c>
      <c r="D15" s="873"/>
      <c r="E15" s="891">
        <f>+'[4]Balancesheet P&amp;L'!$D$17+'[4]Balancesheet P&amp;L'!$D$18</f>
        <v>69957189</v>
      </c>
      <c r="F15" s="891">
        <f>+'[9]Balancesheet P&amp;L'!$D$17+'[9]Balancesheet P&amp;L'!$D$18</f>
        <v>87069185</v>
      </c>
      <c r="G15" s="874"/>
    </row>
    <row r="16" spans="2:7" ht="15.75" x14ac:dyDescent="0.25">
      <c r="B16" s="871"/>
      <c r="C16" s="875" t="s">
        <v>181</v>
      </c>
      <c r="D16" s="873"/>
      <c r="E16" s="891">
        <f>+'[4]Balancesheet P&amp;L'!$D$20</f>
        <v>507706669.34999996</v>
      </c>
      <c r="F16" s="891">
        <f>+'[9]Balancesheet P&amp;L'!$D$20</f>
        <v>478623005.35000002</v>
      </c>
      <c r="G16" s="874"/>
    </row>
    <row r="17" spans="2:7" ht="16.5" x14ac:dyDescent="0.3">
      <c r="B17" s="871"/>
      <c r="C17" s="867" t="s">
        <v>182</v>
      </c>
      <c r="D17" s="873"/>
      <c r="E17" s="892">
        <f>SUM(E13:E16)</f>
        <v>577663858.3499999</v>
      </c>
      <c r="F17" s="892">
        <f>SUM(F13:F16)</f>
        <v>565692190.35000002</v>
      </c>
      <c r="G17" s="874"/>
    </row>
    <row r="18" spans="2:7" ht="16.5" x14ac:dyDescent="0.3">
      <c r="B18" s="866" t="s">
        <v>675</v>
      </c>
      <c r="C18" s="876" t="s">
        <v>678</v>
      </c>
      <c r="D18" s="868"/>
      <c r="E18" s="892"/>
      <c r="F18" s="892"/>
      <c r="G18" s="870"/>
    </row>
    <row r="19" spans="2:7" ht="15.75" x14ac:dyDescent="0.25">
      <c r="B19" s="871"/>
      <c r="C19" s="877" t="s">
        <v>183</v>
      </c>
      <c r="D19" s="873"/>
      <c r="E19" s="891">
        <v>0</v>
      </c>
      <c r="F19" s="891">
        <v>0</v>
      </c>
      <c r="G19" s="874"/>
    </row>
    <row r="20" spans="2:7" ht="15.75" x14ac:dyDescent="0.25">
      <c r="B20" s="871"/>
      <c r="C20" s="877" t="s">
        <v>184</v>
      </c>
      <c r="D20" s="873"/>
      <c r="E20" s="891">
        <v>0</v>
      </c>
      <c r="F20" s="891">
        <v>0</v>
      </c>
      <c r="G20" s="874"/>
    </row>
    <row r="21" spans="2:7" ht="15.75" x14ac:dyDescent="0.25">
      <c r="B21" s="871"/>
      <c r="C21" s="872" t="s">
        <v>185</v>
      </c>
      <c r="D21" s="873"/>
      <c r="E21" s="891">
        <v>0</v>
      </c>
      <c r="F21" s="891">
        <v>0</v>
      </c>
      <c r="G21" s="874"/>
    </row>
    <row r="22" spans="2:7" ht="16.5" x14ac:dyDescent="0.3">
      <c r="B22" s="878"/>
      <c r="C22" s="879" t="s">
        <v>186</v>
      </c>
      <c r="D22" s="880"/>
      <c r="E22" s="893">
        <f>+E21+E20+E19+E17+E12</f>
        <v>1654611967.8472695</v>
      </c>
      <c r="F22" s="893">
        <f>+F21+F20+F19+F17+F12</f>
        <v>1444255485.5699999</v>
      </c>
      <c r="G22" s="881"/>
    </row>
    <row r="23" spans="2:7" ht="16.5" x14ac:dyDescent="0.25">
      <c r="B23" s="871"/>
      <c r="C23" s="882" t="s">
        <v>187</v>
      </c>
      <c r="D23" s="873"/>
      <c r="E23" s="891"/>
      <c r="F23" s="891"/>
      <c r="G23" s="874"/>
    </row>
    <row r="24" spans="2:7" ht="16.5" x14ac:dyDescent="0.3">
      <c r="B24" s="866" t="s">
        <v>673</v>
      </c>
      <c r="C24" s="867" t="s">
        <v>683</v>
      </c>
      <c r="D24" s="868"/>
      <c r="E24" s="892"/>
      <c r="F24" s="892"/>
      <c r="G24" s="870"/>
    </row>
    <row r="25" spans="2:7" ht="15.75" x14ac:dyDescent="0.25">
      <c r="B25" s="871"/>
      <c r="C25" s="872" t="s">
        <v>188</v>
      </c>
      <c r="D25" s="873"/>
      <c r="E25" s="891">
        <f>+'[4]Balancesheet P&amp;L'!$C$23</f>
        <v>795408085.53999996</v>
      </c>
      <c r="F25" s="891">
        <f>+'[9]Balancesheet P&amp;L'!$C$23</f>
        <v>791949910.53999996</v>
      </c>
      <c r="G25" s="874"/>
    </row>
    <row r="26" spans="2:7" ht="15.75" x14ac:dyDescent="0.25">
      <c r="B26" s="871"/>
      <c r="C26" s="872" t="s">
        <v>189</v>
      </c>
      <c r="D26" s="873"/>
      <c r="E26" s="891">
        <f>+'[4]Balancesheet P&amp;L'!$C$24</f>
        <v>182773120.65386087</v>
      </c>
      <c r="F26" s="891">
        <f>+'[9]Balancesheet P&amp;L'!$C$24</f>
        <v>152786810.19999999</v>
      </c>
      <c r="G26" s="874"/>
    </row>
    <row r="27" spans="2:7" ht="16.5" x14ac:dyDescent="0.3">
      <c r="B27" s="871"/>
      <c r="C27" s="872" t="s">
        <v>190</v>
      </c>
      <c r="D27" s="873"/>
      <c r="E27" s="892">
        <f>+E25-E26</f>
        <v>612634964.88613915</v>
      </c>
      <c r="F27" s="892">
        <f>+F25-F26</f>
        <v>639163100.33999991</v>
      </c>
      <c r="G27" s="874"/>
    </row>
    <row r="28" spans="2:7" ht="15.75" x14ac:dyDescent="0.25">
      <c r="B28" s="871"/>
      <c r="C28" s="872" t="s">
        <v>191</v>
      </c>
      <c r="D28" s="873"/>
      <c r="E28" s="891">
        <f>+'[4]Balancesheet P&amp;L'!$D$25</f>
        <v>153774226</v>
      </c>
      <c r="F28" s="891">
        <f>+'[9]Balancesheet P&amp;L'!$D$25</f>
        <v>11314778</v>
      </c>
      <c r="G28" s="874"/>
    </row>
    <row r="29" spans="2:7" ht="15.75" x14ac:dyDescent="0.25">
      <c r="B29" s="871"/>
      <c r="C29" s="872" t="s">
        <v>192</v>
      </c>
      <c r="D29" s="873"/>
      <c r="E29" s="891">
        <v>0</v>
      </c>
      <c r="F29" s="891">
        <v>0</v>
      </c>
      <c r="G29" s="874"/>
    </row>
    <row r="30" spans="2:7" ht="15.75" x14ac:dyDescent="0.25">
      <c r="B30" s="871"/>
      <c r="C30" s="872" t="s">
        <v>193</v>
      </c>
      <c r="D30" s="873"/>
      <c r="E30" s="891">
        <v>0</v>
      </c>
      <c r="F30" s="891">
        <v>0</v>
      </c>
      <c r="G30" s="874"/>
    </row>
    <row r="31" spans="2:7" ht="15.75" x14ac:dyDescent="0.25">
      <c r="B31" s="871"/>
      <c r="C31" s="872" t="s">
        <v>194</v>
      </c>
      <c r="D31" s="873"/>
      <c r="E31" s="891">
        <v>0</v>
      </c>
      <c r="F31" s="891">
        <v>0</v>
      </c>
      <c r="G31" s="874"/>
    </row>
    <row r="32" spans="2:7" ht="15.75" x14ac:dyDescent="0.25">
      <c r="B32" s="871"/>
      <c r="C32" s="872" t="s">
        <v>195</v>
      </c>
      <c r="D32" s="873"/>
      <c r="E32" s="891">
        <v>0</v>
      </c>
      <c r="F32" s="891">
        <v>0</v>
      </c>
      <c r="G32" s="874"/>
    </row>
    <row r="33" spans="2:7" ht="16.5" x14ac:dyDescent="0.3">
      <c r="B33" s="871"/>
      <c r="C33" s="867" t="s">
        <v>196</v>
      </c>
      <c r="D33" s="873"/>
      <c r="E33" s="892">
        <f>SUM(E27:E32)</f>
        <v>766409190.88613915</v>
      </c>
      <c r="F33" s="892">
        <f>SUM(F27:F32)</f>
        <v>650477878.33999991</v>
      </c>
      <c r="G33" s="874"/>
    </row>
    <row r="34" spans="2:7" ht="16.5" x14ac:dyDescent="0.3">
      <c r="B34" s="866" t="s">
        <v>674</v>
      </c>
      <c r="C34" s="867" t="s">
        <v>197</v>
      </c>
      <c r="D34" s="868"/>
      <c r="E34" s="892"/>
      <c r="F34" s="892"/>
      <c r="G34" s="870"/>
    </row>
    <row r="35" spans="2:7" ht="31.5" x14ac:dyDescent="0.25">
      <c r="B35" s="871"/>
      <c r="C35" s="872" t="s">
        <v>198</v>
      </c>
      <c r="D35" s="873"/>
      <c r="E35" s="891">
        <v>0</v>
      </c>
      <c r="F35" s="891"/>
      <c r="G35" s="874"/>
    </row>
    <row r="36" spans="2:7" ht="16.5" x14ac:dyDescent="0.3">
      <c r="B36" s="866" t="s">
        <v>675</v>
      </c>
      <c r="C36" s="867" t="s">
        <v>682</v>
      </c>
      <c r="D36" s="868"/>
      <c r="E36" s="892"/>
      <c r="F36" s="892"/>
      <c r="G36" s="870"/>
    </row>
    <row r="37" spans="2:7" ht="15.75" x14ac:dyDescent="0.25">
      <c r="B37" s="871"/>
      <c r="C37" s="883" t="s">
        <v>199</v>
      </c>
      <c r="D37" s="873"/>
      <c r="E37" s="891"/>
      <c r="F37" s="891"/>
      <c r="G37" s="874"/>
    </row>
    <row r="38" spans="2:7" ht="15.75" x14ac:dyDescent="0.25">
      <c r="B38" s="871"/>
      <c r="C38" s="884" t="s">
        <v>200</v>
      </c>
      <c r="D38" s="873"/>
      <c r="E38" s="891"/>
      <c r="F38" s="891"/>
      <c r="G38" s="874"/>
    </row>
    <row r="39" spans="2:7" ht="15.75" x14ac:dyDescent="0.25">
      <c r="B39" s="871"/>
      <c r="C39" s="884" t="s">
        <v>201</v>
      </c>
      <c r="D39" s="873"/>
      <c r="E39" s="891">
        <f>+'[4]Balancesheet P&amp;L'!$D$29</f>
        <v>56013352.210000001</v>
      </c>
      <c r="F39" s="891">
        <f>+'[9]Balancesheet P&amp;L'!$D$29</f>
        <v>44492704.5</v>
      </c>
      <c r="G39" s="874"/>
    </row>
    <row r="40" spans="2:7" ht="15.75" x14ac:dyDescent="0.25">
      <c r="B40" s="871"/>
      <c r="C40" s="884" t="s">
        <v>202</v>
      </c>
      <c r="D40" s="873"/>
      <c r="E40" s="891">
        <f>+'[4]Balancesheet P&amp;L'!$D$30+'[4]Balancesheet P&amp;L'!$D$34</f>
        <v>92917898.75</v>
      </c>
      <c r="F40" s="891">
        <f>+'[9]Balancesheet P&amp;L'!$D$30+'[9]Balancesheet P&amp;L'!$D$34</f>
        <v>75010454.730000004</v>
      </c>
      <c r="G40" s="874"/>
    </row>
    <row r="41" spans="2:7" ht="15.75" x14ac:dyDescent="0.25">
      <c r="B41" s="762"/>
      <c r="C41" s="884" t="s">
        <v>203</v>
      </c>
      <c r="D41" s="411"/>
      <c r="E41" s="891">
        <f>+'[4]Balancesheet P&amp;L'!$D$31+'[4]Balancesheet P&amp;L'!$D$35+'[4]Balancesheet P&amp;L'!$D$27</f>
        <v>923272669</v>
      </c>
      <c r="F41" s="891">
        <f>+'[9]Balancesheet P&amp;L'!$D$31+'[9]Balancesheet P&amp;L'!$D$33+'[9]Balancesheet P&amp;L'!$D$35+'[9]Balancesheet P&amp;L'!$D$27</f>
        <v>851294854</v>
      </c>
      <c r="G41" s="874"/>
    </row>
    <row r="42" spans="2:7" ht="15.75" x14ac:dyDescent="0.25">
      <c r="B42" s="762"/>
      <c r="C42" s="884" t="s">
        <v>204</v>
      </c>
      <c r="D42" s="411"/>
      <c r="E42" s="891">
        <v>0</v>
      </c>
      <c r="F42" s="891"/>
      <c r="G42" s="874"/>
    </row>
    <row r="43" spans="2:7" ht="16.5" x14ac:dyDescent="0.3">
      <c r="B43" s="762"/>
      <c r="C43" s="867" t="s">
        <v>205</v>
      </c>
      <c r="D43" s="411"/>
      <c r="E43" s="892">
        <f>SUM(E39:E42)</f>
        <v>1072203919.96</v>
      </c>
      <c r="F43" s="892">
        <f>SUM(F39:F42)</f>
        <v>970798013.23000002</v>
      </c>
      <c r="G43" s="874"/>
    </row>
    <row r="44" spans="2:7" ht="15.75" x14ac:dyDescent="0.25">
      <c r="B44" s="762"/>
      <c r="C44" s="883" t="s">
        <v>206</v>
      </c>
      <c r="D44" s="411"/>
      <c r="E44" s="891"/>
      <c r="F44" s="891"/>
      <c r="G44" s="874"/>
    </row>
    <row r="45" spans="2:7" ht="15.75" x14ac:dyDescent="0.25">
      <c r="B45" s="762"/>
      <c r="C45" s="884" t="s">
        <v>207</v>
      </c>
      <c r="D45" s="411"/>
      <c r="E45" s="891">
        <f>+'[4]Balancesheet P&amp;L'!$C$44</f>
        <v>133652975</v>
      </c>
      <c r="F45" s="891">
        <f>+'[9]Balancesheet P&amp;L'!$C$44</f>
        <v>127598063</v>
      </c>
      <c r="G45" s="874"/>
    </row>
    <row r="46" spans="2:7" ht="15.75" x14ac:dyDescent="0.25">
      <c r="B46" s="762"/>
      <c r="C46" s="884" t="s">
        <v>330</v>
      </c>
      <c r="D46" s="411"/>
      <c r="E46" s="891">
        <v>0</v>
      </c>
      <c r="F46" s="891">
        <v>0</v>
      </c>
      <c r="G46" s="874"/>
    </row>
    <row r="47" spans="2:7" ht="15.75" x14ac:dyDescent="0.25">
      <c r="B47" s="762"/>
      <c r="C47" s="884" t="s">
        <v>208</v>
      </c>
      <c r="D47" s="411"/>
      <c r="E47" s="891">
        <v>0</v>
      </c>
      <c r="F47" s="891">
        <v>0</v>
      </c>
      <c r="G47" s="874"/>
    </row>
    <row r="48" spans="2:7" ht="15.75" x14ac:dyDescent="0.25">
      <c r="B48" s="762"/>
      <c r="C48" s="884" t="s">
        <v>209</v>
      </c>
      <c r="D48" s="411"/>
      <c r="E48" s="891">
        <f>+'[4]Balancesheet P&amp;L'!$C$40+'[4]Balancesheet P&amp;L'!$C$41+'[4]Balancesheet P&amp;L'!$C$42+'[4]Balancesheet P&amp;L'!$C$43</f>
        <v>50348168</v>
      </c>
      <c r="F48" s="891">
        <f>+'[9]Balancesheet P&amp;L'!$C$43+'[9]Balancesheet P&amp;L'!$C$42+'[9]Balancesheet P&amp;L'!$C$41+'[9]Balancesheet P&amp;L'!$C$40</f>
        <v>49422343</v>
      </c>
      <c r="G48" s="874"/>
    </row>
    <row r="49" spans="2:7" ht="16.5" x14ac:dyDescent="0.3">
      <c r="B49" s="412"/>
      <c r="C49" s="885" t="s">
        <v>210</v>
      </c>
      <c r="D49" s="413"/>
      <c r="E49" s="894">
        <f>SUM(E45:E48)</f>
        <v>184001143</v>
      </c>
      <c r="F49" s="894">
        <f>SUM(F45:F48)</f>
        <v>177020406</v>
      </c>
      <c r="G49" s="886"/>
    </row>
    <row r="50" spans="2:7" ht="16.5" x14ac:dyDescent="0.3">
      <c r="B50" s="412"/>
      <c r="C50" s="887" t="s">
        <v>211</v>
      </c>
      <c r="D50" s="413"/>
      <c r="E50" s="894">
        <f>+E43-E49</f>
        <v>888202776.96000004</v>
      </c>
      <c r="F50" s="894">
        <f>+F43-F49</f>
        <v>793777607.23000002</v>
      </c>
      <c r="G50" s="886"/>
    </row>
    <row r="51" spans="2:7" ht="17.25" thickBot="1" x14ac:dyDescent="0.35">
      <c r="B51" s="888"/>
      <c r="C51" s="889" t="s">
        <v>212</v>
      </c>
      <c r="D51" s="739"/>
      <c r="E51" s="895">
        <f>+E50+E35+E33</f>
        <v>1654611967.8461392</v>
      </c>
      <c r="F51" s="895">
        <f>+F50+F35+F33</f>
        <v>1444255485.5699999</v>
      </c>
      <c r="G51" s="890"/>
    </row>
    <row r="57" spans="2:7" ht="16.5" x14ac:dyDescent="0.3">
      <c r="B57" s="950" t="s">
        <v>723</v>
      </c>
      <c r="C57" s="951"/>
      <c r="D57" s="951"/>
      <c r="E57" s="952"/>
      <c r="F57" s="952"/>
      <c r="G57" s="953" t="s">
        <v>724</v>
      </c>
    </row>
    <row r="58" spans="2:7" ht="16.5" x14ac:dyDescent="0.3">
      <c r="B58" s="950" t="s">
        <v>725</v>
      </c>
      <c r="C58" s="951"/>
      <c r="D58" s="951"/>
      <c r="E58" s="952"/>
      <c r="F58" s="952"/>
      <c r="G58" s="954" t="s">
        <v>726</v>
      </c>
    </row>
    <row r="59" spans="2:7" ht="15.75" x14ac:dyDescent="0.25">
      <c r="B59" s="952"/>
      <c r="C59" s="952"/>
      <c r="D59" s="952"/>
      <c r="E59" s="952"/>
      <c r="F59" s="955"/>
      <c r="G59" s="952"/>
    </row>
    <row r="60" spans="2:7" ht="15.75" x14ac:dyDescent="0.25">
      <c r="B60" s="952"/>
      <c r="C60" s="952"/>
      <c r="D60" s="952"/>
      <c r="E60" s="952"/>
      <c r="F60" s="955"/>
      <c r="G60" s="952"/>
    </row>
    <row r="61" spans="2:7" ht="15.75" x14ac:dyDescent="0.25">
      <c r="B61" s="952"/>
      <c r="C61" s="952"/>
      <c r="D61" s="952"/>
      <c r="E61" s="952"/>
      <c r="F61" s="955"/>
      <c r="G61" s="952"/>
    </row>
    <row r="62" spans="2:7" ht="15.75" x14ac:dyDescent="0.25">
      <c r="B62" s="952"/>
      <c r="C62" s="952"/>
      <c r="D62" s="952"/>
      <c r="E62" s="952"/>
      <c r="F62" s="952"/>
      <c r="G62" s="952"/>
    </row>
    <row r="63" spans="2:7" ht="16.5" x14ac:dyDescent="0.3">
      <c r="B63" s="956" t="s">
        <v>727</v>
      </c>
      <c r="C63" s="956"/>
      <c r="D63" s="957"/>
      <c r="E63" s="952"/>
      <c r="F63" s="952"/>
      <c r="G63" s="958" t="s">
        <v>728</v>
      </c>
    </row>
    <row r="64" spans="2:7" ht="16.5" x14ac:dyDescent="0.3">
      <c r="B64" s="959" t="s">
        <v>729</v>
      </c>
      <c r="C64" s="959"/>
      <c r="D64" s="957"/>
      <c r="E64" s="952"/>
      <c r="F64" s="960"/>
      <c r="G64" s="958" t="s">
        <v>730</v>
      </c>
    </row>
    <row r="65" spans="2:7" ht="15.75" x14ac:dyDescent="0.25">
      <c r="B65" s="961"/>
      <c r="C65" s="961"/>
      <c r="D65" s="961"/>
      <c r="E65" s="961"/>
      <c r="F65" s="952"/>
      <c r="G65" s="952"/>
    </row>
    <row r="66" spans="2:7" ht="15.75" x14ac:dyDescent="0.25">
      <c r="B66" s="961"/>
      <c r="C66" s="961"/>
      <c r="D66" s="961"/>
      <c r="E66" s="952"/>
      <c r="F66" s="958"/>
      <c r="G66" s="952"/>
    </row>
    <row r="67" spans="2:7" ht="16.5" x14ac:dyDescent="0.3">
      <c r="B67" s="952"/>
      <c r="C67" s="961"/>
      <c r="D67" s="961"/>
      <c r="E67" s="952"/>
      <c r="F67" s="962"/>
      <c r="G67" s="952"/>
    </row>
    <row r="68" spans="2:7" ht="16.5" x14ac:dyDescent="0.3">
      <c r="B68" s="963" t="s">
        <v>731</v>
      </c>
      <c r="C68" s="961"/>
      <c r="D68" s="961"/>
      <c r="E68" s="14"/>
      <c r="F68" s="962"/>
      <c r="G68" s="952"/>
    </row>
    <row r="69" spans="2:7" ht="15.75" x14ac:dyDescent="0.25">
      <c r="B69" s="963" t="s">
        <v>732</v>
      </c>
      <c r="C69" s="964"/>
      <c r="D69" s="964"/>
      <c r="E69" s="964"/>
      <c r="F69" s="965"/>
      <c r="G69" s="952"/>
    </row>
  </sheetData>
  <mergeCells count="8">
    <mergeCell ref="B1:G1"/>
    <mergeCell ref="B2:G2"/>
    <mergeCell ref="G5:G6"/>
    <mergeCell ref="B5:B6"/>
    <mergeCell ref="C5:C6"/>
    <mergeCell ref="D5:D6"/>
    <mergeCell ref="B3:G3"/>
    <mergeCell ref="B4:F4"/>
  </mergeCells>
  <printOptions horizontalCentered="1" verticalCentered="1"/>
  <pageMargins left="0.7" right="0.7" top="0.75" bottom="0.75" header="0.3" footer="0.3"/>
  <pageSetup paperSize="9" scale="64" fitToHeight="0" orientation="portrait" r:id="rId1"/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0000"/>
    <pageSetUpPr fitToPage="1"/>
  </sheetPr>
  <dimension ref="B1:G74"/>
  <sheetViews>
    <sheetView topLeftCell="A52" zoomScale="70" zoomScaleNormal="70" workbookViewId="0">
      <selection activeCell="L21" sqref="L21"/>
    </sheetView>
  </sheetViews>
  <sheetFormatPr defaultRowHeight="18" x14ac:dyDescent="0.25"/>
  <cols>
    <col min="1" max="2" width="9.140625" style="153"/>
    <col min="3" max="3" width="61.5703125" style="153" customWidth="1"/>
    <col min="4" max="4" width="9.7109375" style="153" customWidth="1"/>
    <col min="5" max="5" width="21" style="153" bestFit="1" customWidth="1"/>
    <col min="6" max="6" width="11.42578125" style="153" customWidth="1"/>
    <col min="7" max="7" width="13.85546875" style="153" customWidth="1"/>
    <col min="8" max="16384" width="9.140625" style="153"/>
  </cols>
  <sheetData>
    <row r="1" spans="2:7" ht="18.75" thickBot="1" x14ac:dyDescent="0.3"/>
    <row r="2" spans="2:7" ht="21" thickBot="1" x14ac:dyDescent="0.35">
      <c r="B2" s="1214" t="s">
        <v>680</v>
      </c>
      <c r="C2" s="1215"/>
      <c r="D2" s="1215"/>
      <c r="E2" s="1215"/>
      <c r="F2" s="1215"/>
      <c r="G2" s="1216"/>
    </row>
    <row r="3" spans="2:7" ht="18.75" thickBot="1" x14ac:dyDescent="0.3">
      <c r="B3" s="1217" t="s">
        <v>297</v>
      </c>
      <c r="C3" s="1218"/>
      <c r="D3" s="1218"/>
      <c r="E3" s="1218"/>
      <c r="F3" s="1218"/>
      <c r="G3" s="1219"/>
    </row>
    <row r="4" spans="2:7" ht="18.75" thickBot="1" x14ac:dyDescent="0.3">
      <c r="B4" s="1220" t="s">
        <v>291</v>
      </c>
      <c r="C4" s="1221"/>
      <c r="D4" s="1221"/>
      <c r="E4" s="1221"/>
      <c r="F4" s="1221"/>
      <c r="G4" s="156" t="s">
        <v>361</v>
      </c>
    </row>
    <row r="5" spans="2:7" x14ac:dyDescent="0.25">
      <c r="B5" s="181" t="s">
        <v>0</v>
      </c>
      <c r="C5" s="182" t="s">
        <v>1</v>
      </c>
      <c r="D5" s="182" t="s">
        <v>120</v>
      </c>
      <c r="E5" s="182" t="s">
        <v>402</v>
      </c>
      <c r="F5" s="182" t="s">
        <v>392</v>
      </c>
      <c r="G5" s="183" t="s">
        <v>2</v>
      </c>
    </row>
    <row r="6" spans="2:7" ht="18.75" thickBot="1" x14ac:dyDescent="0.3">
      <c r="B6" s="184">
        <v>1</v>
      </c>
      <c r="C6" s="185">
        <v>2</v>
      </c>
      <c r="D6" s="185">
        <v>3</v>
      </c>
      <c r="E6" s="185">
        <v>4</v>
      </c>
      <c r="F6" s="185">
        <v>5</v>
      </c>
      <c r="G6" s="186">
        <v>6</v>
      </c>
    </row>
    <row r="7" spans="2:7" x14ac:dyDescent="0.25">
      <c r="B7" s="176" t="s">
        <v>213</v>
      </c>
      <c r="C7" s="177" t="s">
        <v>214</v>
      </c>
      <c r="D7" s="178"/>
      <c r="E7" s="179"/>
      <c r="F7" s="179"/>
      <c r="G7" s="180"/>
    </row>
    <row r="8" spans="2:7" x14ac:dyDescent="0.25">
      <c r="B8" s="167" t="s">
        <v>215</v>
      </c>
      <c r="C8" s="159" t="s">
        <v>216</v>
      </c>
      <c r="D8" s="154"/>
      <c r="E8" s="158"/>
      <c r="F8" s="158"/>
      <c r="G8" s="166"/>
    </row>
    <row r="9" spans="2:7" x14ac:dyDescent="0.25">
      <c r="B9" s="168"/>
      <c r="C9" s="159" t="s">
        <v>681</v>
      </c>
      <c r="D9" s="154"/>
      <c r="E9" s="160">
        <f>+'[10]Balancesheet P&amp;L'!$C$117</f>
        <v>-11205961.25</v>
      </c>
      <c r="F9" s="158"/>
      <c r="G9" s="166"/>
    </row>
    <row r="10" spans="2:7" x14ac:dyDescent="0.25">
      <c r="B10" s="168"/>
      <c r="C10" s="159" t="s">
        <v>217</v>
      </c>
      <c r="D10" s="154"/>
      <c r="E10" s="158">
        <v>0</v>
      </c>
      <c r="F10" s="158"/>
      <c r="G10" s="166"/>
    </row>
    <row r="11" spans="2:7" x14ac:dyDescent="0.25">
      <c r="B11" s="168"/>
      <c r="C11" s="159" t="s">
        <v>218</v>
      </c>
      <c r="D11" s="154"/>
      <c r="E11" s="158">
        <f>+E9-E10</f>
        <v>-11205961.25</v>
      </c>
      <c r="F11" s="158"/>
      <c r="G11" s="166"/>
    </row>
    <row r="12" spans="2:7" x14ac:dyDescent="0.25">
      <c r="B12" s="168"/>
      <c r="C12" s="159" t="s">
        <v>219</v>
      </c>
      <c r="D12" s="154"/>
      <c r="E12" s="158"/>
      <c r="F12" s="158"/>
      <c r="G12" s="166"/>
    </row>
    <row r="13" spans="2:7" x14ac:dyDescent="0.25">
      <c r="B13" s="168"/>
      <c r="C13" s="159" t="s">
        <v>220</v>
      </c>
      <c r="D13" s="154"/>
      <c r="E13" s="160">
        <f>+'[10]Balancesheet P&amp;L'!$C$114</f>
        <v>18617513</v>
      </c>
      <c r="F13" s="158"/>
      <c r="G13" s="166"/>
    </row>
    <row r="14" spans="2:7" x14ac:dyDescent="0.25">
      <c r="B14" s="168"/>
      <c r="C14" s="159" t="s">
        <v>221</v>
      </c>
      <c r="D14" s="154"/>
      <c r="E14" s="158">
        <v>0</v>
      </c>
      <c r="F14" s="158"/>
      <c r="G14" s="166"/>
    </row>
    <row r="15" spans="2:7" x14ac:dyDescent="0.25">
      <c r="B15" s="168"/>
      <c r="C15" s="159" t="s">
        <v>222</v>
      </c>
      <c r="D15" s="154"/>
      <c r="E15" s="158">
        <v>0</v>
      </c>
      <c r="F15" s="158"/>
      <c r="G15" s="166"/>
    </row>
    <row r="16" spans="2:7" x14ac:dyDescent="0.25">
      <c r="B16" s="168"/>
      <c r="C16" s="159" t="s">
        <v>223</v>
      </c>
      <c r="D16" s="154"/>
      <c r="E16" s="158">
        <v>0</v>
      </c>
      <c r="F16" s="158"/>
      <c r="G16" s="166"/>
    </row>
    <row r="17" spans="2:7" x14ac:dyDescent="0.25">
      <c r="B17" s="168"/>
      <c r="C17" s="159" t="s">
        <v>332</v>
      </c>
      <c r="D17" s="154"/>
      <c r="E17" s="158" t="e">
        <f>-#REF!+#REF!</f>
        <v>#REF!</v>
      </c>
      <c r="F17" s="158"/>
      <c r="G17" s="166"/>
    </row>
    <row r="18" spans="2:7" x14ac:dyDescent="0.25">
      <c r="B18" s="168"/>
      <c r="C18" s="159" t="s">
        <v>333</v>
      </c>
      <c r="D18" s="154"/>
      <c r="E18" s="158">
        <f>'[10]Balancesheet P&amp;L'!$C$14</f>
        <v>83875</v>
      </c>
      <c r="F18" s="158"/>
      <c r="G18" s="166"/>
    </row>
    <row r="19" spans="2:7" x14ac:dyDescent="0.25">
      <c r="B19" s="168"/>
      <c r="C19" s="159" t="s">
        <v>224</v>
      </c>
      <c r="D19" s="154"/>
      <c r="E19" s="158" t="e">
        <f>SUM(E13:E18)</f>
        <v>#REF!</v>
      </c>
      <c r="F19" s="158"/>
      <c r="G19" s="166"/>
    </row>
    <row r="20" spans="2:7" x14ac:dyDescent="0.25">
      <c r="B20" s="168"/>
      <c r="C20" s="159" t="s">
        <v>225</v>
      </c>
      <c r="D20" s="154"/>
      <c r="E20" s="158"/>
      <c r="F20" s="158"/>
      <c r="G20" s="166"/>
    </row>
    <row r="21" spans="2:7" x14ac:dyDescent="0.25">
      <c r="B21" s="168"/>
      <c r="C21" s="159" t="s">
        <v>226</v>
      </c>
      <c r="D21" s="154"/>
      <c r="E21" s="158">
        <v>0</v>
      </c>
      <c r="F21" s="158"/>
      <c r="G21" s="166"/>
    </row>
    <row r="22" spans="2:7" x14ac:dyDescent="0.25">
      <c r="B22" s="168"/>
      <c r="C22" s="159" t="s">
        <v>227</v>
      </c>
      <c r="D22" s="154"/>
      <c r="E22" s="158">
        <v>0</v>
      </c>
      <c r="F22" s="158"/>
      <c r="G22" s="166"/>
    </row>
    <row r="23" spans="2:7" x14ac:dyDescent="0.25">
      <c r="B23" s="168"/>
      <c r="C23" s="159" t="s">
        <v>228</v>
      </c>
      <c r="D23" s="154"/>
      <c r="E23" s="158">
        <v>0</v>
      </c>
      <c r="F23" s="158"/>
      <c r="G23" s="166"/>
    </row>
    <row r="24" spans="2:7" x14ac:dyDescent="0.25">
      <c r="B24" s="168"/>
      <c r="C24" s="159" t="s">
        <v>229</v>
      </c>
      <c r="D24" s="154"/>
      <c r="E24" s="158">
        <f>SUM(E21:E23)</f>
        <v>0</v>
      </c>
      <c r="F24" s="158"/>
      <c r="G24" s="166"/>
    </row>
    <row r="25" spans="2:7" x14ac:dyDescent="0.25">
      <c r="B25" s="168"/>
      <c r="C25" s="157" t="s">
        <v>230</v>
      </c>
      <c r="D25" s="154"/>
      <c r="E25" s="160" t="e">
        <f>+E11+E19-E24</f>
        <v>#REF!</v>
      </c>
      <c r="F25" s="158"/>
      <c r="G25" s="166"/>
    </row>
    <row r="26" spans="2:7" x14ac:dyDescent="0.25">
      <c r="B26" s="168">
        <v>2</v>
      </c>
      <c r="C26" s="159" t="s">
        <v>231</v>
      </c>
      <c r="D26" s="154"/>
      <c r="E26" s="158">
        <v>0</v>
      </c>
      <c r="F26" s="158"/>
      <c r="G26" s="166"/>
    </row>
    <row r="27" spans="2:7" x14ac:dyDescent="0.25">
      <c r="B27" s="168">
        <v>3</v>
      </c>
      <c r="C27" s="159" t="s">
        <v>232</v>
      </c>
      <c r="D27" s="154"/>
      <c r="E27" s="160">
        <f>+'[10]Balancesheet P&amp;L'!$F$44</f>
        <v>14599763</v>
      </c>
      <c r="F27" s="158"/>
      <c r="G27" s="166"/>
    </row>
    <row r="28" spans="2:7" x14ac:dyDescent="0.25">
      <c r="B28" s="168">
        <v>4</v>
      </c>
      <c r="C28" s="159" t="s">
        <v>233</v>
      </c>
      <c r="D28" s="154"/>
      <c r="E28" s="158">
        <v>0</v>
      </c>
      <c r="F28" s="158"/>
      <c r="G28" s="166"/>
    </row>
    <row r="29" spans="2:7" x14ac:dyDescent="0.25">
      <c r="B29" s="165">
        <v>5</v>
      </c>
      <c r="C29" s="157" t="s">
        <v>234</v>
      </c>
      <c r="D29" s="154"/>
      <c r="E29" s="160" t="e">
        <f>SUM(E25:E28)</f>
        <v>#REF!</v>
      </c>
      <c r="F29" s="158"/>
      <c r="G29" s="166"/>
    </row>
    <row r="30" spans="2:7" x14ac:dyDescent="0.25">
      <c r="B30" s="168">
        <v>6</v>
      </c>
      <c r="C30" s="159" t="s">
        <v>235</v>
      </c>
      <c r="D30" s="154"/>
      <c r="E30" s="158"/>
      <c r="F30" s="158"/>
      <c r="G30" s="166"/>
    </row>
    <row r="31" spans="2:7" x14ac:dyDescent="0.25">
      <c r="B31" s="168"/>
      <c r="C31" s="159" t="s">
        <v>236</v>
      </c>
      <c r="D31" s="154"/>
      <c r="E31" s="158"/>
      <c r="F31" s="158"/>
      <c r="G31" s="166"/>
    </row>
    <row r="32" spans="2:7" x14ac:dyDescent="0.25">
      <c r="B32" s="168"/>
      <c r="C32" s="159" t="s">
        <v>237</v>
      </c>
      <c r="D32" s="154"/>
      <c r="E32" s="158">
        <v>0</v>
      </c>
      <c r="F32" s="158"/>
      <c r="G32" s="166"/>
    </row>
    <row r="33" spans="2:7" x14ac:dyDescent="0.25">
      <c r="B33" s="168"/>
      <c r="C33" s="159" t="s">
        <v>238</v>
      </c>
      <c r="D33" s="154"/>
      <c r="E33" s="160">
        <f>+'[10]Balancesheet P&amp;L'!$F$30</f>
        <v>-7496445.6499999985</v>
      </c>
      <c r="F33" s="158"/>
      <c r="G33" s="166"/>
    </row>
    <row r="34" spans="2:7" x14ac:dyDescent="0.25">
      <c r="B34" s="168"/>
      <c r="C34" s="159" t="s">
        <v>239</v>
      </c>
      <c r="D34" s="154"/>
      <c r="E34" s="160">
        <f>+'[10]Balancesheet P&amp;L'!$F$35+'[10]Balancesheet P&amp;L'!$F$34+'[10]Balancesheet P&amp;L'!$F$33+'[10]Balancesheet P&amp;L'!$F$32+'[10]Balancesheet P&amp;L'!$F$28</f>
        <v>22787248</v>
      </c>
      <c r="F34" s="158"/>
      <c r="G34" s="166"/>
    </row>
    <row r="35" spans="2:7" x14ac:dyDescent="0.25">
      <c r="B35" s="168"/>
      <c r="C35" s="159" t="s">
        <v>240</v>
      </c>
      <c r="D35" s="154"/>
      <c r="E35" s="158">
        <v>0</v>
      </c>
      <c r="F35" s="158"/>
      <c r="G35" s="166"/>
    </row>
    <row r="36" spans="2:7" x14ac:dyDescent="0.25">
      <c r="B36" s="168"/>
      <c r="C36" s="159" t="s">
        <v>241</v>
      </c>
      <c r="D36" s="154"/>
      <c r="E36" s="158">
        <v>0</v>
      </c>
      <c r="F36" s="158"/>
      <c r="G36" s="166"/>
    </row>
    <row r="37" spans="2:7" x14ac:dyDescent="0.25">
      <c r="B37" s="168"/>
      <c r="C37" s="159" t="s">
        <v>242</v>
      </c>
      <c r="D37" s="154"/>
      <c r="E37" s="160">
        <f>SUM(E32:E36)</f>
        <v>15290802.350000001</v>
      </c>
      <c r="F37" s="158"/>
      <c r="G37" s="166"/>
    </row>
    <row r="38" spans="2:7" x14ac:dyDescent="0.25">
      <c r="B38" s="168"/>
      <c r="C38" s="159" t="s">
        <v>243</v>
      </c>
      <c r="D38" s="154"/>
      <c r="E38" s="158"/>
      <c r="F38" s="158"/>
      <c r="G38" s="166"/>
    </row>
    <row r="39" spans="2:7" x14ac:dyDescent="0.25">
      <c r="B39" s="168"/>
      <c r="C39" s="159" t="s">
        <v>244</v>
      </c>
      <c r="D39" s="154"/>
      <c r="E39" s="158">
        <v>0</v>
      </c>
      <c r="F39" s="158"/>
      <c r="G39" s="166"/>
    </row>
    <row r="40" spans="2:7" x14ac:dyDescent="0.25">
      <c r="B40" s="168"/>
      <c r="C40" s="159" t="s">
        <v>245</v>
      </c>
      <c r="D40" s="154"/>
      <c r="E40" s="160">
        <f>+'[10]Balancesheet P&amp;L'!$F$41+'[10]Balancesheet P&amp;L'!$F$42</f>
        <v>1900413</v>
      </c>
      <c r="F40" s="158"/>
      <c r="G40" s="166"/>
    </row>
    <row r="41" spans="2:7" x14ac:dyDescent="0.25">
      <c r="B41" s="168"/>
      <c r="C41" s="159" t="s">
        <v>246</v>
      </c>
      <c r="D41" s="154"/>
      <c r="E41" s="158">
        <v>0</v>
      </c>
      <c r="F41" s="158"/>
      <c r="G41" s="166"/>
    </row>
    <row r="42" spans="2:7" x14ac:dyDescent="0.25">
      <c r="B42" s="168"/>
      <c r="C42" s="159" t="s">
        <v>247</v>
      </c>
      <c r="D42" s="154"/>
      <c r="E42" s="160">
        <f>SUM(E39:E41)</f>
        <v>1900413</v>
      </c>
      <c r="F42" s="158"/>
      <c r="G42" s="166"/>
    </row>
    <row r="43" spans="2:7" x14ac:dyDescent="0.25">
      <c r="B43" s="168"/>
      <c r="C43" s="159" t="s">
        <v>248</v>
      </c>
      <c r="D43" s="154"/>
      <c r="E43" s="160">
        <f>+E37-E42</f>
        <v>13390389.350000001</v>
      </c>
      <c r="F43" s="158"/>
      <c r="G43" s="166"/>
    </row>
    <row r="44" spans="2:7" ht="36" x14ac:dyDescent="0.25">
      <c r="B44" s="168">
        <v>7</v>
      </c>
      <c r="C44" s="161" t="s">
        <v>249</v>
      </c>
      <c r="D44" s="154"/>
      <c r="E44" s="160" t="e">
        <f>+E29-E43</f>
        <v>#REF!</v>
      </c>
      <c r="F44" s="158"/>
      <c r="G44" s="166"/>
    </row>
    <row r="45" spans="2:7" x14ac:dyDescent="0.25">
      <c r="B45" s="168">
        <v>8</v>
      </c>
      <c r="C45" s="159" t="s">
        <v>250</v>
      </c>
      <c r="D45" s="154"/>
      <c r="E45" s="158">
        <v>0</v>
      </c>
      <c r="F45" s="158"/>
      <c r="G45" s="166"/>
    </row>
    <row r="46" spans="2:7" ht="36" x14ac:dyDescent="0.25">
      <c r="B46" s="168"/>
      <c r="C46" s="161" t="s">
        <v>251</v>
      </c>
      <c r="D46" s="154"/>
      <c r="E46" s="160" t="e">
        <f>SUM(E44:E45)</f>
        <v>#REF!</v>
      </c>
      <c r="F46" s="158"/>
      <c r="G46" s="166"/>
    </row>
    <row r="47" spans="2:7" x14ac:dyDescent="0.25">
      <c r="B47" s="165" t="s">
        <v>252</v>
      </c>
      <c r="C47" s="157" t="s">
        <v>253</v>
      </c>
      <c r="D47" s="154"/>
      <c r="E47" s="158"/>
      <c r="F47" s="158"/>
      <c r="G47" s="166"/>
    </row>
    <row r="48" spans="2:7" x14ac:dyDescent="0.25">
      <c r="B48" s="168"/>
      <c r="C48" s="159" t="s">
        <v>254</v>
      </c>
      <c r="D48" s="154"/>
      <c r="E48" s="158"/>
      <c r="F48" s="158"/>
      <c r="G48" s="166"/>
    </row>
    <row r="49" spans="2:7" x14ac:dyDescent="0.25">
      <c r="B49" s="168"/>
      <c r="C49" s="159" t="s">
        <v>255</v>
      </c>
      <c r="D49" s="154"/>
      <c r="E49" s="158">
        <v>0</v>
      </c>
      <c r="F49" s="158"/>
      <c r="G49" s="166"/>
    </row>
    <row r="50" spans="2:7" x14ac:dyDescent="0.25">
      <c r="B50" s="168"/>
      <c r="C50" s="159" t="s">
        <v>256</v>
      </c>
      <c r="D50" s="154"/>
      <c r="E50" s="158">
        <v>0</v>
      </c>
      <c r="F50" s="158"/>
      <c r="G50" s="166"/>
    </row>
    <row r="51" spans="2:7" x14ac:dyDescent="0.25">
      <c r="B51" s="168"/>
      <c r="C51" s="159" t="s">
        <v>257</v>
      </c>
      <c r="D51" s="154"/>
      <c r="E51" s="160">
        <f>+'[10]Balancesheet P&amp;L'!$F$21</f>
        <v>36597223.779999971</v>
      </c>
      <c r="F51" s="158"/>
      <c r="G51" s="166"/>
    </row>
    <row r="52" spans="2:7" x14ac:dyDescent="0.25">
      <c r="B52" s="168"/>
      <c r="C52" s="159" t="s">
        <v>242</v>
      </c>
      <c r="D52" s="154"/>
      <c r="E52" s="160">
        <f>SUM(E49:E51)</f>
        <v>36597223.779999971</v>
      </c>
      <c r="F52" s="158"/>
      <c r="G52" s="166"/>
    </row>
    <row r="53" spans="2:7" x14ac:dyDescent="0.25">
      <c r="B53" s="168"/>
      <c r="C53" s="159" t="s">
        <v>258</v>
      </c>
      <c r="D53" s="154"/>
      <c r="E53" s="158"/>
      <c r="F53" s="158"/>
      <c r="G53" s="166"/>
    </row>
    <row r="54" spans="2:7" x14ac:dyDescent="0.25">
      <c r="B54" s="168"/>
      <c r="C54" s="159" t="s">
        <v>259</v>
      </c>
      <c r="D54" s="154"/>
      <c r="E54" s="158">
        <v>0</v>
      </c>
      <c r="F54" s="158"/>
      <c r="G54" s="166"/>
    </row>
    <row r="55" spans="2:7" x14ac:dyDescent="0.25">
      <c r="B55" s="168"/>
      <c r="C55" s="159" t="s">
        <v>260</v>
      </c>
      <c r="D55" s="154"/>
      <c r="E55" s="158">
        <v>0</v>
      </c>
      <c r="F55" s="158"/>
      <c r="G55" s="166"/>
    </row>
    <row r="56" spans="2:7" x14ac:dyDescent="0.25">
      <c r="B56" s="168"/>
      <c r="C56" s="159" t="s">
        <v>261</v>
      </c>
      <c r="D56" s="154"/>
      <c r="E56" s="160">
        <f>+'[10]Balancesheet P&amp;L'!$F$17+'[10]Balancesheet P&amp;L'!$F$18+'[10]Balancesheet P&amp;L'!$F$19</f>
        <v>14841184.18</v>
      </c>
      <c r="F56" s="158"/>
      <c r="G56" s="166"/>
    </row>
    <row r="57" spans="2:7" x14ac:dyDescent="0.25">
      <c r="B57" s="168"/>
      <c r="C57" s="159" t="s">
        <v>247</v>
      </c>
      <c r="D57" s="154"/>
      <c r="E57" s="160">
        <f>SUM(E54:E56)</f>
        <v>14841184.18</v>
      </c>
      <c r="F57" s="158"/>
      <c r="G57" s="166"/>
    </row>
    <row r="58" spans="2:7" x14ac:dyDescent="0.25">
      <c r="B58" s="168"/>
      <c r="C58" s="159" t="s">
        <v>262</v>
      </c>
      <c r="D58" s="154"/>
      <c r="E58" s="160">
        <f>+E52-E57</f>
        <v>21756039.599999972</v>
      </c>
      <c r="F58" s="158"/>
      <c r="G58" s="166"/>
    </row>
    <row r="59" spans="2:7" x14ac:dyDescent="0.25">
      <c r="B59" s="165" t="s">
        <v>263</v>
      </c>
      <c r="C59" s="157" t="s">
        <v>264</v>
      </c>
      <c r="D59" s="154"/>
      <c r="E59" s="158">
        <f>+'[10]Balancesheet P&amp;L'!$F$11</f>
        <v>-915</v>
      </c>
      <c r="F59" s="158"/>
      <c r="G59" s="166"/>
    </row>
    <row r="60" spans="2:7" x14ac:dyDescent="0.25">
      <c r="B60" s="165" t="s">
        <v>265</v>
      </c>
      <c r="C60" s="157" t="s">
        <v>266</v>
      </c>
      <c r="D60" s="154"/>
      <c r="E60" s="158" t="e">
        <f>+E59+E58+E46</f>
        <v>#REF!</v>
      </c>
      <c r="F60" s="158"/>
      <c r="G60" s="166"/>
    </row>
    <row r="61" spans="2:7" x14ac:dyDescent="0.25">
      <c r="B61" s="165" t="s">
        <v>267</v>
      </c>
      <c r="C61" s="157" t="s">
        <v>268</v>
      </c>
      <c r="D61" s="154"/>
      <c r="E61" s="158"/>
      <c r="F61" s="158"/>
      <c r="G61" s="166"/>
    </row>
    <row r="62" spans="2:7" x14ac:dyDescent="0.25">
      <c r="B62" s="168"/>
      <c r="C62" s="159" t="s">
        <v>269</v>
      </c>
      <c r="D62" s="154"/>
      <c r="E62" s="158">
        <v>0</v>
      </c>
      <c r="F62" s="158"/>
      <c r="G62" s="166"/>
    </row>
    <row r="63" spans="2:7" x14ac:dyDescent="0.25">
      <c r="B63" s="168"/>
      <c r="C63" s="159" t="s">
        <v>270</v>
      </c>
      <c r="D63" s="154"/>
      <c r="E63" s="158">
        <v>0</v>
      </c>
      <c r="F63" s="158"/>
      <c r="G63" s="166"/>
    </row>
    <row r="64" spans="2:7" x14ac:dyDescent="0.25">
      <c r="B64" s="168"/>
      <c r="C64" s="159" t="s">
        <v>271</v>
      </c>
      <c r="D64" s="154"/>
      <c r="E64" s="158">
        <v>0</v>
      </c>
      <c r="F64" s="158"/>
      <c r="G64" s="166"/>
    </row>
    <row r="65" spans="2:7" x14ac:dyDescent="0.25">
      <c r="B65" s="168"/>
      <c r="C65" s="159" t="s">
        <v>272</v>
      </c>
      <c r="D65" s="154"/>
      <c r="E65" s="158">
        <v>0</v>
      </c>
      <c r="F65" s="158"/>
      <c r="G65" s="166"/>
    </row>
    <row r="66" spans="2:7" x14ac:dyDescent="0.25">
      <c r="B66" s="168"/>
      <c r="C66" s="159" t="s">
        <v>273</v>
      </c>
      <c r="D66" s="154"/>
      <c r="E66" s="158">
        <f>SUM(E62:E65)</f>
        <v>0</v>
      </c>
      <c r="F66" s="158"/>
      <c r="G66" s="166"/>
    </row>
    <row r="67" spans="2:7" x14ac:dyDescent="0.25">
      <c r="B67" s="165" t="s">
        <v>274</v>
      </c>
      <c r="C67" s="157" t="s">
        <v>275</v>
      </c>
      <c r="D67" s="154"/>
      <c r="E67" s="158">
        <v>0</v>
      </c>
      <c r="F67" s="158"/>
      <c r="G67" s="166"/>
    </row>
    <row r="68" spans="2:7" x14ac:dyDescent="0.25">
      <c r="B68" s="165" t="s">
        <v>276</v>
      </c>
      <c r="C68" s="157" t="s">
        <v>277</v>
      </c>
      <c r="D68" s="154"/>
      <c r="E68" s="158">
        <v>0</v>
      </c>
      <c r="F68" s="158"/>
      <c r="G68" s="166"/>
    </row>
    <row r="69" spans="2:7" x14ac:dyDescent="0.25">
      <c r="B69" s="165" t="s">
        <v>278</v>
      </c>
      <c r="C69" s="157" t="s">
        <v>279</v>
      </c>
      <c r="D69" s="154"/>
      <c r="E69" s="158">
        <v>0</v>
      </c>
      <c r="F69" s="158"/>
      <c r="G69" s="166"/>
    </row>
    <row r="70" spans="2:7" x14ac:dyDescent="0.25">
      <c r="B70" s="165" t="s">
        <v>280</v>
      </c>
      <c r="C70" s="157" t="s">
        <v>281</v>
      </c>
      <c r="D70" s="154"/>
      <c r="E70" s="158">
        <v>0</v>
      </c>
      <c r="F70" s="158"/>
      <c r="G70" s="166"/>
    </row>
    <row r="71" spans="2:7" x14ac:dyDescent="0.25">
      <c r="B71" s="169" t="s">
        <v>282</v>
      </c>
      <c r="C71" s="162" t="s">
        <v>283</v>
      </c>
      <c r="D71" s="163"/>
      <c r="E71" s="164" t="e">
        <f>+E60-E66-E67</f>
        <v>#REF!</v>
      </c>
      <c r="F71" s="164"/>
      <c r="G71" s="170"/>
    </row>
    <row r="72" spans="2:7" x14ac:dyDescent="0.25">
      <c r="B72" s="169" t="s">
        <v>284</v>
      </c>
      <c r="C72" s="162" t="s">
        <v>285</v>
      </c>
      <c r="D72" s="163"/>
      <c r="E72" s="164">
        <f>+'[10]Balancesheet P&amp;L'!$E$31</f>
        <v>8342075.8300000001</v>
      </c>
      <c r="F72" s="164"/>
      <c r="G72" s="170"/>
    </row>
    <row r="73" spans="2:7" ht="18.75" thickBot="1" x14ac:dyDescent="0.3">
      <c r="B73" s="171" t="s">
        <v>286</v>
      </c>
      <c r="C73" s="172" t="s">
        <v>287</v>
      </c>
      <c r="D73" s="173"/>
      <c r="E73" s="174" t="e">
        <f>+E71+E72</f>
        <v>#REF!</v>
      </c>
      <c r="F73" s="174"/>
      <c r="G73" s="175"/>
    </row>
    <row r="74" spans="2:7" x14ac:dyDescent="0.25">
      <c r="E74" s="155"/>
    </row>
  </sheetData>
  <mergeCells count="3">
    <mergeCell ref="B2:G2"/>
    <mergeCell ref="B3:G3"/>
    <mergeCell ref="B4:F4"/>
  </mergeCells>
  <printOptions horizontalCentered="1" verticalCentered="1"/>
  <pageMargins left="0.7" right="0.7" top="0.75" bottom="0.75" header="0.3" footer="0.3"/>
  <pageSetup paperSize="9"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G50"/>
  <sheetViews>
    <sheetView topLeftCell="A31" workbookViewId="0">
      <selection sqref="A1:C50"/>
    </sheetView>
  </sheetViews>
  <sheetFormatPr defaultRowHeight="15" x14ac:dyDescent="0.25"/>
  <cols>
    <col min="1" max="1" width="67.85546875" style="7" bestFit="1" customWidth="1"/>
    <col min="2" max="3" width="18.28515625" style="7" bestFit="1" customWidth="1"/>
    <col min="4" max="4" width="14.140625" style="7" customWidth="1"/>
    <col min="5" max="5" width="40.42578125" style="7" bestFit="1" customWidth="1"/>
    <col min="6" max="6" width="15.28515625" style="20" bestFit="1" customWidth="1"/>
    <col min="7" max="16384" width="9.140625" style="7"/>
  </cols>
  <sheetData>
    <row r="1" spans="1:6" ht="16.5" x14ac:dyDescent="0.3">
      <c r="A1" s="1222" t="s">
        <v>404</v>
      </c>
      <c r="B1" s="1222"/>
      <c r="C1" s="1222"/>
      <c r="D1" s="14"/>
      <c r="E1" s="14"/>
      <c r="F1" s="15"/>
    </row>
    <row r="2" spans="1:6" x14ac:dyDescent="0.25">
      <c r="A2" s="1223" t="s">
        <v>405</v>
      </c>
      <c r="B2" s="1223"/>
      <c r="C2" s="1223"/>
      <c r="D2" s="16"/>
      <c r="E2" s="16"/>
      <c r="F2" s="17"/>
    </row>
    <row r="3" spans="1:6" ht="15.75" x14ac:dyDescent="0.3">
      <c r="A3" s="1224" t="s">
        <v>362</v>
      </c>
      <c r="B3" s="1224"/>
      <c r="C3" s="1224"/>
      <c r="D3" s="18"/>
      <c r="E3" s="18"/>
      <c r="F3" s="19"/>
    </row>
    <row r="4" spans="1:6" ht="15.75" x14ac:dyDescent="0.3">
      <c r="A4" s="1225" t="s">
        <v>403</v>
      </c>
      <c r="B4" s="1225"/>
      <c r="C4" s="1225"/>
    </row>
    <row r="5" spans="1:6" ht="15.75" x14ac:dyDescent="0.3">
      <c r="A5" s="21" t="s">
        <v>363</v>
      </c>
      <c r="B5" s="22" t="s">
        <v>364</v>
      </c>
      <c r="C5" s="22" t="s">
        <v>364</v>
      </c>
    </row>
    <row r="6" spans="1:6" ht="15.75" x14ac:dyDescent="0.3">
      <c r="A6" s="1" t="s">
        <v>365</v>
      </c>
      <c r="B6" s="3"/>
      <c r="C6" s="3"/>
    </row>
    <row r="7" spans="1:6" x14ac:dyDescent="0.25">
      <c r="A7" s="2" t="s">
        <v>366</v>
      </c>
      <c r="B7" s="2">
        <f>+'[4]Balancesheet P&amp;L'!E116</f>
        <v>-4864135.7227303982</v>
      </c>
      <c r="C7" s="3"/>
    </row>
    <row r="8" spans="1:6" ht="15.75" x14ac:dyDescent="0.3">
      <c r="A8" s="1" t="s">
        <v>367</v>
      </c>
      <c r="B8" s="2"/>
      <c r="C8" s="3"/>
    </row>
    <row r="9" spans="1:6" x14ac:dyDescent="0.25">
      <c r="A9" s="2" t="s">
        <v>368</v>
      </c>
      <c r="B9" s="2">
        <f>'[4]Balancesheet P&amp;L'!E113</f>
        <v>29986310.452730436</v>
      </c>
      <c r="C9" s="3"/>
    </row>
    <row r="10" spans="1:6" ht="15.75" x14ac:dyDescent="0.3">
      <c r="A10" s="1" t="s">
        <v>369</v>
      </c>
      <c r="B10" s="9">
        <f>SUM(B7:B9)</f>
        <v>25122174.730000038</v>
      </c>
      <c r="C10" s="3"/>
    </row>
    <row r="11" spans="1:6" x14ac:dyDescent="0.25">
      <c r="A11" s="2" t="s">
        <v>370</v>
      </c>
      <c r="B11" s="2">
        <f>+'[4]Balancesheet P&amp;L'!C14</f>
        <v>30000</v>
      </c>
      <c r="C11" s="3"/>
    </row>
    <row r="12" spans="1:6" x14ac:dyDescent="0.25">
      <c r="A12" s="2" t="s">
        <v>399</v>
      </c>
      <c r="B12" s="2">
        <f>-'[4]Balancesheet P&amp;L'!F29</f>
        <v>-11520647.710000001</v>
      </c>
      <c r="C12" s="3"/>
    </row>
    <row r="13" spans="1:6" x14ac:dyDescent="0.25">
      <c r="A13" s="2" t="s">
        <v>371</v>
      </c>
      <c r="B13" s="2">
        <f>-'[4]Balancesheet P&amp;L'!F27</f>
        <v>-2971534</v>
      </c>
      <c r="C13" s="3"/>
    </row>
    <row r="14" spans="1:6" x14ac:dyDescent="0.25">
      <c r="A14" s="2" t="s">
        <v>406</v>
      </c>
      <c r="B14" s="2">
        <f>-'[4]Balancesheet P&amp;L'!F34</f>
        <v>-51657164</v>
      </c>
      <c r="C14" s="3"/>
      <c r="E14" s="23"/>
    </row>
    <row r="15" spans="1:6" x14ac:dyDescent="0.25">
      <c r="A15" s="2" t="s">
        <v>372</v>
      </c>
      <c r="B15" s="2">
        <f>-'[4]Balancesheet P&amp;L'!F35</f>
        <v>-69086281</v>
      </c>
      <c r="C15" s="3"/>
      <c r="E15" s="23"/>
    </row>
    <row r="16" spans="1:6" x14ac:dyDescent="0.25">
      <c r="A16" s="2" t="s">
        <v>407</v>
      </c>
      <c r="B16" s="2">
        <f>'[4]Balancesheet P&amp;L'!F33</f>
        <v>80000</v>
      </c>
      <c r="C16" s="3"/>
    </row>
    <row r="17" spans="1:3" x14ac:dyDescent="0.25">
      <c r="A17" s="2" t="s">
        <v>400</v>
      </c>
      <c r="B17" s="2">
        <f>'[4]Balancesheet P&amp;L'!F40</f>
        <v>-3000</v>
      </c>
      <c r="C17" s="3"/>
    </row>
    <row r="18" spans="1:3" x14ac:dyDescent="0.25">
      <c r="A18" s="2" t="s">
        <v>373</v>
      </c>
      <c r="B18" s="2">
        <f>-'[4]Balancesheet P&amp;L'!F32-'[4]Balancesheet P&amp;L'!F31</f>
        <v>0</v>
      </c>
      <c r="C18" s="3"/>
    </row>
    <row r="19" spans="1:3" x14ac:dyDescent="0.25">
      <c r="A19" s="2" t="s">
        <v>374</v>
      </c>
      <c r="B19" s="2">
        <f>'[4]Balancesheet P&amp;L'!F44</f>
        <v>6054912</v>
      </c>
      <c r="C19" s="3"/>
    </row>
    <row r="20" spans="1:3" x14ac:dyDescent="0.25">
      <c r="A20" s="2" t="s">
        <v>375</v>
      </c>
      <c r="B20" s="2">
        <f>'[4]Balancesheet P&amp;L'!F42</f>
        <v>1918385</v>
      </c>
      <c r="C20" s="3"/>
    </row>
    <row r="21" spans="1:3" x14ac:dyDescent="0.25">
      <c r="A21" s="2" t="s">
        <v>408</v>
      </c>
      <c r="B21" s="2">
        <f>+'[4]Balancesheet P&amp;L'!F41</f>
        <v>-989560</v>
      </c>
      <c r="C21" s="10"/>
    </row>
    <row r="22" spans="1:3" ht="15.75" x14ac:dyDescent="0.3">
      <c r="A22" s="1" t="s">
        <v>376</v>
      </c>
      <c r="B22" s="9">
        <f>SUM(B10:B21)</f>
        <v>-103022714.97999996</v>
      </c>
      <c r="C22" s="3"/>
    </row>
    <row r="23" spans="1:3" x14ac:dyDescent="0.25">
      <c r="A23" s="2" t="s">
        <v>377</v>
      </c>
      <c r="B23" s="11">
        <f>+'[4]Balancesheet P&amp;L'!F20</f>
        <v>29083663.99999994</v>
      </c>
      <c r="C23" s="3"/>
    </row>
    <row r="24" spans="1:3" ht="15.75" x14ac:dyDescent="0.3">
      <c r="A24" s="1" t="s">
        <v>378</v>
      </c>
      <c r="B24" s="3"/>
      <c r="C24" s="9">
        <f>SUM(B22:B23)</f>
        <v>-73939050.980000019</v>
      </c>
    </row>
    <row r="25" spans="1:3" ht="15.75" x14ac:dyDescent="0.3">
      <c r="A25" s="1" t="s">
        <v>379</v>
      </c>
      <c r="B25" s="3"/>
      <c r="C25" s="3"/>
    </row>
    <row r="26" spans="1:3" x14ac:dyDescent="0.25">
      <c r="A26" s="2" t="s">
        <v>380</v>
      </c>
      <c r="B26" s="2">
        <f>-[4]FA!F32-[4]FA!E32</f>
        <v>-3458175</v>
      </c>
      <c r="C26" s="3"/>
    </row>
    <row r="27" spans="1:3" x14ac:dyDescent="0.25">
      <c r="A27" s="2" t="s">
        <v>381</v>
      </c>
      <c r="B27" s="11">
        <f>-'[4]Balancesheet P&amp;L'!F25</f>
        <v>-142459448</v>
      </c>
      <c r="C27" s="3"/>
    </row>
    <row r="28" spans="1:3" ht="15.75" x14ac:dyDescent="0.3">
      <c r="A28" s="1" t="s">
        <v>382</v>
      </c>
      <c r="B28" s="3"/>
      <c r="C28" s="9">
        <f>SUM(B26:B27)</f>
        <v>-145917623</v>
      </c>
    </row>
    <row r="29" spans="1:3" ht="15.75" x14ac:dyDescent="0.3">
      <c r="A29" s="1" t="s">
        <v>383</v>
      </c>
      <c r="B29" s="3"/>
      <c r="C29" s="3"/>
    </row>
    <row r="30" spans="1:3" x14ac:dyDescent="0.25">
      <c r="A30" s="2" t="s">
        <v>384</v>
      </c>
      <c r="B30" s="3"/>
      <c r="C30" s="3"/>
    </row>
    <row r="31" spans="1:3" x14ac:dyDescent="0.25">
      <c r="A31" s="2" t="s">
        <v>385</v>
      </c>
      <c r="B31" s="2">
        <f>-'[4]Balancesheet P&amp;L'!F17</f>
        <v>-9396987</v>
      </c>
      <c r="C31" s="3"/>
    </row>
    <row r="32" spans="1:3" x14ac:dyDescent="0.25">
      <c r="A32" s="2" t="s">
        <v>386</v>
      </c>
      <c r="B32" s="2">
        <f>-'[4]Balancesheet P&amp;L'!F18</f>
        <v>-7715009</v>
      </c>
      <c r="C32" s="3"/>
    </row>
    <row r="33" spans="1:7" x14ac:dyDescent="0.25">
      <c r="A33" s="2" t="s">
        <v>409</v>
      </c>
      <c r="B33" s="11">
        <f>+'[4]Balancesheet P&amp;L'!F11</f>
        <v>203218950</v>
      </c>
      <c r="C33" s="3"/>
    </row>
    <row r="34" spans="1:7" ht="15.75" x14ac:dyDescent="0.3">
      <c r="A34" s="1" t="s">
        <v>387</v>
      </c>
      <c r="B34" s="3"/>
      <c r="C34" s="9">
        <f>SUM(B31:B33)</f>
        <v>186106954</v>
      </c>
    </row>
    <row r="35" spans="1:7" x14ac:dyDescent="0.25">
      <c r="A35" s="4" t="s">
        <v>388</v>
      </c>
      <c r="B35" s="3"/>
      <c r="C35" s="2">
        <f>SUM(C24:C34)</f>
        <v>-33749719.980000019</v>
      </c>
    </row>
    <row r="36" spans="1:7" x14ac:dyDescent="0.25">
      <c r="A36" s="4" t="s">
        <v>389</v>
      </c>
      <c r="B36" s="6"/>
      <c r="C36" s="2">
        <f>'[4]Balancesheet P&amp;L'!E30</f>
        <v>47012145.43</v>
      </c>
      <c r="D36" s="5"/>
      <c r="E36" s="5"/>
    </row>
    <row r="37" spans="1:7" ht="16.5" thickBot="1" x14ac:dyDescent="0.35">
      <c r="A37" s="1" t="s">
        <v>390</v>
      </c>
      <c r="B37" s="4"/>
      <c r="C37" s="8">
        <f>C35+C36</f>
        <v>13262425.449999981</v>
      </c>
    </row>
    <row r="38" spans="1:7" ht="15.75" thickTop="1" x14ac:dyDescent="0.25">
      <c r="A38" s="12"/>
      <c r="B38" s="13"/>
      <c r="C38" s="13"/>
    </row>
    <row r="39" spans="1:7" x14ac:dyDescent="0.25">
      <c r="D39" s="5">
        <f>+C37-'[4]Balancesheet P&amp;L'!D30</f>
        <v>-1.862645149230957E-8</v>
      </c>
    </row>
    <row r="43" spans="1:7" ht="16.5" x14ac:dyDescent="0.3">
      <c r="A43" s="934" t="s">
        <v>723</v>
      </c>
      <c r="B43" s="935"/>
      <c r="C43" s="936" t="s">
        <v>724</v>
      </c>
      <c r="D43"/>
      <c r="E43"/>
      <c r="F43" s="150"/>
      <c r="G43" s="150"/>
    </row>
    <row r="44" spans="1:7" ht="16.5" x14ac:dyDescent="0.3">
      <c r="A44" s="934" t="s">
        <v>725</v>
      </c>
      <c r="B44" s="935"/>
      <c r="C44" s="937" t="s">
        <v>726</v>
      </c>
      <c r="D44"/>
      <c r="E44"/>
      <c r="F44" s="150"/>
      <c r="G44" s="150"/>
    </row>
    <row r="45" spans="1:7" x14ac:dyDescent="0.25">
      <c r="C45"/>
      <c r="D45"/>
      <c r="E45"/>
      <c r="F45" s="150"/>
      <c r="G45" s="150"/>
    </row>
    <row r="46" spans="1:7" x14ac:dyDescent="0.25">
      <c r="C46"/>
      <c r="D46" s="59"/>
      <c r="E46"/>
      <c r="F46" s="150"/>
      <c r="G46" s="150"/>
    </row>
    <row r="47" spans="1:7" x14ac:dyDescent="0.25">
      <c r="C47"/>
      <c r="D47" s="59"/>
      <c r="E47"/>
      <c r="F47" s="150"/>
      <c r="G47" s="150"/>
    </row>
    <row r="48" spans="1:7" x14ac:dyDescent="0.25">
      <c r="C48"/>
      <c r="D48" s="59"/>
      <c r="E48"/>
      <c r="F48" s="150"/>
      <c r="G48" s="150"/>
    </row>
    <row r="49" spans="1:7" x14ac:dyDescent="0.25">
      <c r="A49" s="946" t="s">
        <v>731</v>
      </c>
      <c r="B49" s="939"/>
      <c r="C49" s="941" t="s">
        <v>728</v>
      </c>
      <c r="D49" s="59"/>
      <c r="E49"/>
      <c r="F49" s="150"/>
      <c r="G49" s="150"/>
    </row>
    <row r="50" spans="1:7" x14ac:dyDescent="0.25">
      <c r="A50" s="946" t="s">
        <v>732</v>
      </c>
      <c r="B50" s="942"/>
      <c r="C50" s="941" t="s">
        <v>730</v>
      </c>
      <c r="D50" s="59"/>
      <c r="E50"/>
      <c r="F50" s="150"/>
      <c r="G50" s="15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  <pageSetUpPr fitToPage="1"/>
  </sheetPr>
  <dimension ref="A1:T49"/>
  <sheetViews>
    <sheetView topLeftCell="A4" zoomScale="70" zoomScaleNormal="70" workbookViewId="0">
      <selection sqref="A1:R44"/>
    </sheetView>
  </sheetViews>
  <sheetFormatPr defaultRowHeight="14.25" x14ac:dyDescent="0.2"/>
  <cols>
    <col min="1" max="1" width="9.140625" style="25"/>
    <col min="2" max="2" width="56.5703125" style="25" customWidth="1"/>
    <col min="3" max="4" width="9.140625" style="25"/>
    <col min="5" max="5" width="10.7109375" style="25" customWidth="1"/>
    <col min="6" max="6" width="14.85546875" style="25" bestFit="1" customWidth="1"/>
    <col min="7" max="7" width="12.85546875" style="25" bestFit="1" customWidth="1"/>
    <col min="8" max="8" width="8.5703125" style="25" bestFit="1" customWidth="1"/>
    <col min="9" max="9" width="15.7109375" style="25" customWidth="1"/>
    <col min="10" max="10" width="11.42578125" style="25" bestFit="1" customWidth="1"/>
    <col min="11" max="12" width="15.85546875" style="25" bestFit="1" customWidth="1"/>
    <col min="13" max="13" width="6.85546875" style="25" bestFit="1" customWidth="1"/>
    <col min="14" max="14" width="12.85546875" style="25" bestFit="1" customWidth="1"/>
    <col min="15" max="15" width="14.5703125" style="25" bestFit="1" customWidth="1"/>
    <col min="16" max="16" width="13.7109375" style="25" bestFit="1" customWidth="1"/>
    <col min="17" max="17" width="15.85546875" style="25" bestFit="1" customWidth="1"/>
    <col min="18" max="18" width="6.85546875" style="25" bestFit="1" customWidth="1"/>
    <col min="19" max="16384" width="9.140625" style="25"/>
  </cols>
  <sheetData>
    <row r="1" spans="1:20" ht="17.25" thickBot="1" x14ac:dyDescent="0.35">
      <c r="A1" s="994" t="s">
        <v>452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995"/>
      <c r="R1" s="996"/>
    </row>
    <row r="2" spans="1:20" ht="16.5" thickBot="1" x14ac:dyDescent="0.3">
      <c r="A2" s="997" t="s">
        <v>303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9"/>
    </row>
    <row r="3" spans="1:20" ht="255.75" x14ac:dyDescent="0.2">
      <c r="A3" s="194" t="s">
        <v>445</v>
      </c>
      <c r="B3" s="195" t="s">
        <v>1</v>
      </c>
      <c r="C3" s="196" t="s">
        <v>19</v>
      </c>
      <c r="D3" s="196" t="s">
        <v>20</v>
      </c>
      <c r="E3" s="197" t="s">
        <v>446</v>
      </c>
      <c r="F3" s="197" t="s">
        <v>295</v>
      </c>
      <c r="G3" s="197" t="s">
        <v>21</v>
      </c>
      <c r="H3" s="197" t="s">
        <v>505</v>
      </c>
      <c r="I3" s="197" t="s">
        <v>308</v>
      </c>
      <c r="J3" s="197" t="s">
        <v>506</v>
      </c>
      <c r="K3" s="197" t="s">
        <v>309</v>
      </c>
      <c r="L3" s="197" t="s">
        <v>67</v>
      </c>
      <c r="M3" s="197" t="s">
        <v>23</v>
      </c>
      <c r="N3" s="197" t="s">
        <v>447</v>
      </c>
      <c r="O3" s="197" t="s">
        <v>304</v>
      </c>
      <c r="P3" s="197" t="s">
        <v>305</v>
      </c>
      <c r="Q3" s="197" t="s">
        <v>448</v>
      </c>
      <c r="R3" s="198" t="s">
        <v>449</v>
      </c>
      <c r="T3" s="47" t="s">
        <v>488</v>
      </c>
    </row>
    <row r="4" spans="1:20" ht="16.5" thickBot="1" x14ac:dyDescent="0.3">
      <c r="A4" s="199">
        <v>1</v>
      </c>
      <c r="B4" s="200">
        <v>2</v>
      </c>
      <c r="C4" s="200">
        <v>3</v>
      </c>
      <c r="D4" s="200">
        <v>4</v>
      </c>
      <c r="E4" s="200">
        <v>5</v>
      </c>
      <c r="F4" s="200">
        <v>6</v>
      </c>
      <c r="G4" s="200">
        <v>7</v>
      </c>
      <c r="H4" s="200">
        <v>8</v>
      </c>
      <c r="I4" s="200">
        <v>9</v>
      </c>
      <c r="J4" s="200">
        <v>10</v>
      </c>
      <c r="K4" s="200">
        <v>11</v>
      </c>
      <c r="L4" s="200">
        <v>12</v>
      </c>
      <c r="M4" s="200">
        <v>13</v>
      </c>
      <c r="N4" s="200">
        <v>14</v>
      </c>
      <c r="O4" s="200">
        <v>15</v>
      </c>
      <c r="P4" s="200">
        <v>16</v>
      </c>
      <c r="Q4" s="200">
        <v>17</v>
      </c>
      <c r="R4" s="201">
        <v>18</v>
      </c>
      <c r="T4" s="28"/>
    </row>
    <row r="5" spans="1:20" ht="15.75" x14ac:dyDescent="0.25">
      <c r="A5" s="202">
        <v>1</v>
      </c>
      <c r="B5" s="203" t="s">
        <v>315</v>
      </c>
      <c r="C5" s="203">
        <f>+'D21-ERC-FY18-P1'!C5+'D21-ERC-FY18-P23'!C5+'D21-ERC-FY18-P5'!C5</f>
        <v>188</v>
      </c>
      <c r="D5" s="203">
        <f>+C5</f>
        <v>188</v>
      </c>
      <c r="E5" s="204">
        <f>+'D21-ERC-FY18-P1'!E5+'D21-ERC-FY18-P23'!E5+'D21-ERC-FY18-P5'!E5</f>
        <v>11679.6628</v>
      </c>
      <c r="F5" s="204">
        <f>+'D21-ERC-FY18-P1'!F5+'D21-ERC-FY18-P23'!F5+'D21-ERC-FY18-P5'!F5</f>
        <v>1203258.2341368</v>
      </c>
      <c r="G5" s="205">
        <f>F5/$F$22</f>
        <v>2.6118932304591991E-2</v>
      </c>
      <c r="H5" s="204">
        <v>100</v>
      </c>
      <c r="I5" s="246">
        <f>+'D21-ERC-FY18-P1'!I5+'D21-ERC-FY18-P23'!I5+'D21-ERC-FY18-P5'!I5</f>
        <v>299302.46000000002</v>
      </c>
      <c r="J5" s="206">
        <v>5.5</v>
      </c>
      <c r="K5" s="246">
        <f>+'D21-ERC-FY18-P1'!K5+'D21-ERC-FY18-P23'!K5+'D21-ERC-FY18-P5'!K5</f>
        <v>7201889.8749007992</v>
      </c>
      <c r="L5" s="246">
        <f>+K5+I5</f>
        <v>7501192.3349007992</v>
      </c>
      <c r="M5" s="207">
        <f>L5/F5</f>
        <v>6.234066904418107</v>
      </c>
      <c r="N5" s="246">
        <f>+'D21-ERC-FY18-P1'!N5+'D21-ERC-FY18-P23'!N5+'D21-ERC-FY18-P5'!N5</f>
        <v>0</v>
      </c>
      <c r="O5" s="246">
        <f>+'D21-ERC-FY18-P1'!O5+'D21-ERC-FY18-P23'!O5+'D21-ERC-FY18-P5'!O5</f>
        <v>0</v>
      </c>
      <c r="P5" s="246">
        <f>+'D21-ERC-FY18-P1'!P5+'D21-ERC-FY18-P23'!P5+'D21-ERC-FY18-P5'!P5</f>
        <v>0</v>
      </c>
      <c r="Q5" s="246">
        <f>+L5+N5+P5-O5</f>
        <v>7501192.3349007992</v>
      </c>
      <c r="R5" s="208">
        <f>Q5/F5</f>
        <v>6.234066904418107</v>
      </c>
      <c r="T5" s="51" t="b">
        <f t="shared" ref="T5:T22" si="0">Q5=L5+N5-O5+P5</f>
        <v>1</v>
      </c>
    </row>
    <row r="6" spans="1:20" ht="15.75" x14ac:dyDescent="0.25">
      <c r="A6" s="209">
        <v>2</v>
      </c>
      <c r="B6" s="210" t="s">
        <v>316</v>
      </c>
      <c r="C6" s="203">
        <f>+'D21-ERC-FY18-P1'!C6+'D21-ERC-FY18-P23'!C6+'D21-ERC-FY18-P5'!C6</f>
        <v>92</v>
      </c>
      <c r="D6" s="203">
        <f t="shared" ref="D6:D25" si="1">+C6</f>
        <v>92</v>
      </c>
      <c r="E6" s="204">
        <f>+'D21-ERC-FY18-P1'!E6+'D21-ERC-FY18-P23'!E6+'D21-ERC-FY18-P5'!E6</f>
        <v>4134.8506833333331</v>
      </c>
      <c r="F6" s="204">
        <f>+'D21-ERC-FY18-P1'!F6+'D21-ERC-FY18-P23'!F6+'D21-ERC-FY18-P5'!F6</f>
        <v>1306705.37264</v>
      </c>
      <c r="G6" s="212">
        <f t="shared" ref="G6:G22" si="2">F6/$F$22</f>
        <v>2.8364442645609646E-2</v>
      </c>
      <c r="H6" s="211">
        <v>75</v>
      </c>
      <c r="I6" s="246">
        <f>+'D21-ERC-FY18-P1'!I6+'D21-ERC-FY18-P23'!I6+'D21-ERC-FY18-P5'!I6</f>
        <v>721957.22</v>
      </c>
      <c r="J6" s="213">
        <v>5.5</v>
      </c>
      <c r="K6" s="246">
        <f>+'D21-ERC-FY18-P1'!K6+'D21-ERC-FY18-P23'!K6+'D21-ERC-FY18-P5'!K6</f>
        <v>7827649.4462000001</v>
      </c>
      <c r="L6" s="246">
        <f t="shared" ref="L6:L25" si="3">+K6+I6</f>
        <v>8549606.6662000008</v>
      </c>
      <c r="M6" s="214">
        <f t="shared" ref="M6:M26" si="4">L6/F6</f>
        <v>6.5428725137379802</v>
      </c>
      <c r="N6" s="246">
        <f>+'D21-ERC-FY18-P1'!N6+'D21-ERC-FY18-P23'!N6+'D21-ERC-FY18-P5'!N6</f>
        <v>0</v>
      </c>
      <c r="O6" s="246">
        <f>+'D21-ERC-FY18-P1'!O6+'D21-ERC-FY18-P23'!O6+'D21-ERC-FY18-P5'!O6</f>
        <v>0</v>
      </c>
      <c r="P6" s="246">
        <f>+'D21-ERC-FY18-P1'!P6+'D21-ERC-FY18-P23'!P6+'D21-ERC-FY18-P5'!P6</f>
        <v>0</v>
      </c>
      <c r="Q6" s="246">
        <f t="shared" ref="Q6:Q25" si="5">+L6+N6+P6-O6</f>
        <v>8549606.6662000008</v>
      </c>
      <c r="R6" s="215">
        <f t="shared" ref="R6:R27" si="6">Q6/F6</f>
        <v>6.5428725137379802</v>
      </c>
      <c r="T6" s="51" t="b">
        <f t="shared" si="0"/>
        <v>1</v>
      </c>
    </row>
    <row r="7" spans="1:20" ht="15.75" x14ac:dyDescent="0.25">
      <c r="A7" s="209">
        <v>3</v>
      </c>
      <c r="B7" s="210" t="s">
        <v>317</v>
      </c>
      <c r="C7" s="203">
        <f>+'D21-ERC-FY18-P1'!C7+'D21-ERC-FY18-P23'!C7+'D21-ERC-FY18-P5'!C7</f>
        <v>250</v>
      </c>
      <c r="D7" s="203">
        <f t="shared" si="1"/>
        <v>250</v>
      </c>
      <c r="E7" s="204">
        <f>+'D21-ERC-FY18-P1'!E7+'D21-ERC-FY18-P23'!E7+'D21-ERC-FY18-P5'!E7</f>
        <v>31772.147100000002</v>
      </c>
      <c r="F7" s="204">
        <f>+'D21-ERC-FY18-P1'!F7+'D21-ERC-FY18-P23'!F7+'D21-ERC-FY18-P5'!F7</f>
        <v>39937882.526040003</v>
      </c>
      <c r="G7" s="212">
        <f t="shared" si="2"/>
        <v>0.86692517075082887</v>
      </c>
      <c r="H7" s="211">
        <v>150</v>
      </c>
      <c r="I7" s="246">
        <f>+'D21-ERC-FY18-P1'!I7+'D21-ERC-FY18-P23'!I7+'D21-ERC-FY18-P5'!I7</f>
        <v>56255624.207500003</v>
      </c>
      <c r="J7" s="213">
        <v>5.5</v>
      </c>
      <c r="K7" s="246">
        <f>+'D21-ERC-FY18-P1'!K7+'D21-ERC-FY18-P23'!K7+'D21-ERC-FY18-P5'!K7</f>
        <v>245882519.0975</v>
      </c>
      <c r="L7" s="246">
        <f t="shared" si="3"/>
        <v>302138143.30500001</v>
      </c>
      <c r="M7" s="214">
        <f t="shared" si="4"/>
        <v>7.5652018633687481</v>
      </c>
      <c r="N7" s="246">
        <f>+'D21-ERC-FY18-P1'!N7+'D21-ERC-FY18-P23'!N7+'D21-ERC-FY18-P5'!N7</f>
        <v>0</v>
      </c>
      <c r="O7" s="246">
        <f>+'D21-ERC-FY18-P1'!O7+'D21-ERC-FY18-P23'!O7+'D21-ERC-FY18-P5'!O7</f>
        <v>1066406.5999999999</v>
      </c>
      <c r="P7" s="246">
        <f>+'D21-ERC-FY18-P1'!P7+'D21-ERC-FY18-P23'!P7+'D21-ERC-FY18-P5'!P7</f>
        <v>736219</v>
      </c>
      <c r="Q7" s="246">
        <f t="shared" si="5"/>
        <v>301807955.70499998</v>
      </c>
      <c r="R7" s="215">
        <f t="shared" si="6"/>
        <v>7.5569343344183908</v>
      </c>
      <c r="T7" s="51" t="b">
        <f t="shared" si="0"/>
        <v>1</v>
      </c>
    </row>
    <row r="8" spans="1:20" ht="15.75" x14ac:dyDescent="0.25">
      <c r="A8" s="209">
        <v>4</v>
      </c>
      <c r="B8" s="210" t="s">
        <v>318</v>
      </c>
      <c r="C8" s="203">
        <f>+'D21-ERC-FY18-P1'!C8+'D21-ERC-FY18-P23'!C8+'D21-ERC-FY18-P5'!C8</f>
        <v>2</v>
      </c>
      <c r="D8" s="203">
        <f t="shared" si="1"/>
        <v>2</v>
      </c>
      <c r="E8" s="204">
        <f>+'D21-ERC-FY18-P1'!E8+'D21-ERC-FY18-P23'!E8+'D21-ERC-FY18-P5'!E8</f>
        <v>301.79166666666674</v>
      </c>
      <c r="F8" s="204">
        <f>+'D21-ERC-FY18-P1'!F8+'D21-ERC-FY18-P23'!F8+'D21-ERC-FY18-P5'!F8</f>
        <v>17350</v>
      </c>
      <c r="G8" s="212">
        <f t="shared" si="2"/>
        <v>3.7661365002813709E-4</v>
      </c>
      <c r="H8" s="211">
        <v>100</v>
      </c>
      <c r="I8" s="246">
        <f>+'D21-ERC-FY18-P1'!I8+'D21-ERC-FY18-P23'!I8+'D21-ERC-FY18-P5'!I8</f>
        <v>26748</v>
      </c>
      <c r="J8" s="213">
        <v>6</v>
      </c>
      <c r="K8" s="246">
        <f>+'D21-ERC-FY18-P1'!K8+'D21-ERC-FY18-P23'!K8+'D21-ERC-FY18-P5'!K8</f>
        <v>106016.2</v>
      </c>
      <c r="L8" s="246">
        <f t="shared" si="3"/>
        <v>132764.20000000001</v>
      </c>
      <c r="M8" s="214">
        <f t="shared" si="4"/>
        <v>7.6521152737752169</v>
      </c>
      <c r="N8" s="246">
        <f>+'D21-ERC-FY18-P1'!N8+'D21-ERC-FY18-P23'!N8+'D21-ERC-FY18-P5'!N8</f>
        <v>0</v>
      </c>
      <c r="O8" s="246">
        <f>+'D21-ERC-FY18-P1'!O8+'D21-ERC-FY18-P23'!O8+'D21-ERC-FY18-P5'!O8</f>
        <v>0</v>
      </c>
      <c r="P8" s="246">
        <f>+'D21-ERC-FY18-P1'!P8+'D21-ERC-FY18-P23'!P8+'D21-ERC-FY18-P5'!P8</f>
        <v>0</v>
      </c>
      <c r="Q8" s="246">
        <f t="shared" si="5"/>
        <v>132764.20000000001</v>
      </c>
      <c r="R8" s="215">
        <f t="shared" si="6"/>
        <v>7.6521152737752169</v>
      </c>
      <c r="T8" s="51" t="b">
        <f t="shared" si="0"/>
        <v>1</v>
      </c>
    </row>
    <row r="9" spans="1:20" ht="15.75" x14ac:dyDescent="0.25">
      <c r="A9" s="209">
        <v>5</v>
      </c>
      <c r="B9" s="210" t="s">
        <v>319</v>
      </c>
      <c r="C9" s="203">
        <f>+'D21-ERC-FY18-P1'!C9+'D21-ERC-FY18-P23'!C9+'D21-ERC-FY18-P5'!C9</f>
        <v>9</v>
      </c>
      <c r="D9" s="203">
        <f t="shared" si="1"/>
        <v>9</v>
      </c>
      <c r="E9" s="204">
        <f>+'D21-ERC-FY18-P1'!E9+'D21-ERC-FY18-P23'!E9+'D21-ERC-FY18-P5'!E9</f>
        <v>165.39416666666671</v>
      </c>
      <c r="F9" s="204">
        <f>+'D21-ERC-FY18-P1'!F9+'D21-ERC-FY18-P23'!F9+'D21-ERC-FY18-P5'!F9</f>
        <v>117736.41</v>
      </c>
      <c r="G9" s="212">
        <f t="shared" si="2"/>
        <v>2.5556852513722917E-3</v>
      </c>
      <c r="H9" s="211">
        <v>60</v>
      </c>
      <c r="I9" s="246">
        <f>+'D21-ERC-FY18-P1'!I9+'D21-ERC-FY18-P23'!I9+'D21-ERC-FY18-P5'!I9</f>
        <v>121111.20000000003</v>
      </c>
      <c r="J9" s="213">
        <v>6</v>
      </c>
      <c r="K9" s="246">
        <f>+'D21-ERC-FY18-P1'!K9+'D21-ERC-FY18-P23'!K9+'D21-ERC-FY18-P5'!K9</f>
        <v>818047.36999999988</v>
      </c>
      <c r="L9" s="246">
        <f t="shared" si="3"/>
        <v>939158.57</v>
      </c>
      <c r="M9" s="214">
        <f t="shared" si="4"/>
        <v>7.9767895929559929</v>
      </c>
      <c r="N9" s="246">
        <f>+'D21-ERC-FY18-P1'!N9+'D21-ERC-FY18-P23'!N9+'D21-ERC-FY18-P5'!N9</f>
        <v>0</v>
      </c>
      <c r="O9" s="246">
        <f>+'D21-ERC-FY18-P1'!O9+'D21-ERC-FY18-P23'!O9+'D21-ERC-FY18-P5'!O9</f>
        <v>0</v>
      </c>
      <c r="P9" s="246">
        <f>+'D21-ERC-FY18-P1'!P9+'D21-ERC-FY18-P23'!P9+'D21-ERC-FY18-P5'!P9</f>
        <v>0</v>
      </c>
      <c r="Q9" s="246">
        <f t="shared" si="5"/>
        <v>939158.57</v>
      </c>
      <c r="R9" s="215">
        <f t="shared" si="6"/>
        <v>7.9767895929559929</v>
      </c>
      <c r="T9" s="51" t="b">
        <f t="shared" si="0"/>
        <v>1</v>
      </c>
    </row>
    <row r="10" spans="1:20" ht="15.75" x14ac:dyDescent="0.25">
      <c r="A10" s="209">
        <v>6</v>
      </c>
      <c r="B10" s="210" t="s">
        <v>320</v>
      </c>
      <c r="C10" s="203">
        <f>+'D21-ERC-FY18-P1'!C10+'D21-ERC-FY18-P23'!C10+'D21-ERC-FY18-P5'!C10</f>
        <v>36</v>
      </c>
      <c r="D10" s="203">
        <f t="shared" si="1"/>
        <v>36</v>
      </c>
      <c r="E10" s="204">
        <f>+'D21-ERC-FY18-P1'!E10+'D21-ERC-FY18-P23'!E10+'D21-ERC-FY18-P5'!E10</f>
        <v>468.50749999999994</v>
      </c>
      <c r="F10" s="204">
        <f>+'D21-ERC-FY18-P1'!F10+'D21-ERC-FY18-P23'!F10+'D21-ERC-FY18-P5'!F10</f>
        <v>301126.77</v>
      </c>
      <c r="G10" s="212">
        <f t="shared" si="2"/>
        <v>6.5365102000509122E-3</v>
      </c>
      <c r="H10" s="211">
        <v>125</v>
      </c>
      <c r="I10" s="246">
        <f>+'D21-ERC-FY18-P1'!I10+'D21-ERC-FY18-P23'!I10+'D21-ERC-FY18-P5'!I10</f>
        <v>554264.1</v>
      </c>
      <c r="J10" s="213">
        <v>6</v>
      </c>
      <c r="K10" s="246">
        <f>+'D21-ERC-FY18-P1'!K10+'D21-ERC-FY18-P23'!K10+'D21-ERC-FY18-P5'!K10</f>
        <v>2497534</v>
      </c>
      <c r="L10" s="246">
        <f t="shared" si="3"/>
        <v>3051798.1</v>
      </c>
      <c r="M10" s="214">
        <f t="shared" si="4"/>
        <v>10.134595804949523</v>
      </c>
      <c r="N10" s="246">
        <f>+'D21-ERC-FY18-P1'!N10+'D21-ERC-FY18-P23'!N10+'D21-ERC-FY18-P5'!N10</f>
        <v>167857.16666666666</v>
      </c>
      <c r="O10" s="246">
        <f>+'D21-ERC-FY18-P1'!O10+'D21-ERC-FY18-P23'!O10+'D21-ERC-FY18-P5'!O10</f>
        <v>4382665.74</v>
      </c>
      <c r="P10" s="246">
        <f>+'D21-ERC-FY18-P1'!P10+'D21-ERC-FY18-P23'!P10+'D21-ERC-FY18-P5'!P10</f>
        <v>7377102</v>
      </c>
      <c r="Q10" s="246">
        <f t="shared" si="5"/>
        <v>6214091.5266666654</v>
      </c>
      <c r="R10" s="215">
        <f t="shared" si="6"/>
        <v>20.636131177134018</v>
      </c>
      <c r="T10" s="51" t="b">
        <f t="shared" si="0"/>
        <v>1</v>
      </c>
    </row>
    <row r="11" spans="1:20" ht="15.75" x14ac:dyDescent="0.25">
      <c r="A11" s="209">
        <v>7</v>
      </c>
      <c r="B11" s="210" t="s">
        <v>321</v>
      </c>
      <c r="C11" s="203">
        <f>+'D21-ERC-FY18-P1'!C11+'D21-ERC-FY18-P23'!C11+'D21-ERC-FY18-P5'!C11</f>
        <v>53</v>
      </c>
      <c r="D11" s="203">
        <f t="shared" si="1"/>
        <v>53</v>
      </c>
      <c r="E11" s="204">
        <f>+'D21-ERC-FY18-P1'!E11+'D21-ERC-FY18-P23'!E11+'D21-ERC-FY18-P5'!E11</f>
        <v>865.72333333333358</v>
      </c>
      <c r="F11" s="204">
        <f>+'D21-ERC-FY18-P1'!F11+'D21-ERC-FY18-P23'!F11+'D21-ERC-FY18-P5'!F11</f>
        <v>115992.70999999999</v>
      </c>
      <c r="G11" s="212">
        <f t="shared" si="2"/>
        <v>2.5178350368734981E-3</v>
      </c>
      <c r="H11" s="211">
        <v>50</v>
      </c>
      <c r="I11" s="246">
        <f>+'D21-ERC-FY18-P1'!I11+'D21-ERC-FY18-P23'!I11+'D21-ERC-FY18-P5'!I11</f>
        <v>55752.4</v>
      </c>
      <c r="J11" s="213" t="s">
        <v>467</v>
      </c>
      <c r="K11" s="246">
        <f>+'D21-ERC-FY18-P1'!K11+'D21-ERC-FY18-P23'!K11+'D21-ERC-FY18-P5'!K11</f>
        <v>931549.07400000002</v>
      </c>
      <c r="L11" s="246">
        <f t="shared" si="3"/>
        <v>987301.47400000005</v>
      </c>
      <c r="M11" s="214">
        <f t="shared" si="4"/>
        <v>8.5117545231937424</v>
      </c>
      <c r="N11" s="246">
        <f>+'D21-ERC-FY18-P1'!N11+'D21-ERC-FY18-P23'!N11+'D21-ERC-FY18-P5'!N11</f>
        <v>0</v>
      </c>
      <c r="O11" s="246">
        <f>+'D21-ERC-FY18-P1'!O11+'D21-ERC-FY18-P23'!O11+'D21-ERC-FY18-P5'!O11</f>
        <v>0</v>
      </c>
      <c r="P11" s="246">
        <f>+'D21-ERC-FY18-P1'!P11+'D21-ERC-FY18-P23'!P11+'D21-ERC-FY18-P5'!P11</f>
        <v>0</v>
      </c>
      <c r="Q11" s="246">
        <f t="shared" si="5"/>
        <v>987301.47400000005</v>
      </c>
      <c r="R11" s="215">
        <f t="shared" si="6"/>
        <v>8.5117545231937424</v>
      </c>
      <c r="T11" s="51" t="b">
        <f t="shared" si="0"/>
        <v>1</v>
      </c>
    </row>
    <row r="12" spans="1:20" ht="15.75" x14ac:dyDescent="0.25">
      <c r="A12" s="209">
        <v>8</v>
      </c>
      <c r="B12" s="210" t="s">
        <v>322</v>
      </c>
      <c r="C12" s="203">
        <f>+'D21-ERC-FY18-P1'!C12+'D21-ERC-FY18-P23'!C12+'D21-ERC-FY18-P5'!C12</f>
        <v>51</v>
      </c>
      <c r="D12" s="203">
        <f t="shared" si="1"/>
        <v>51</v>
      </c>
      <c r="E12" s="204">
        <f>+'D21-ERC-FY18-P1'!E12+'D21-ERC-FY18-P23'!E12+'D21-ERC-FY18-P5'!E12</f>
        <v>1397.9391666666668</v>
      </c>
      <c r="F12" s="204">
        <f>+'D21-ERC-FY18-P1'!F12+'D21-ERC-FY18-P23'!F12+'D21-ERC-FY18-P5'!F12</f>
        <v>106807.99999999999</v>
      </c>
      <c r="G12" s="212">
        <f t="shared" si="2"/>
        <v>2.3184640191472772E-3</v>
      </c>
      <c r="H12" s="211">
        <v>70</v>
      </c>
      <c r="I12" s="246">
        <f>+'D21-ERC-FY18-P1'!I12+'D21-ERC-FY18-P23'!I12+'D21-ERC-FY18-P5'!I12</f>
        <v>84249.36</v>
      </c>
      <c r="J12" s="213" t="s">
        <v>468</v>
      </c>
      <c r="K12" s="246">
        <f>+'D21-ERC-FY18-P1'!K12+'D21-ERC-FY18-P23'!K12+'D21-ERC-FY18-P5'!K12</f>
        <v>849404.42999999993</v>
      </c>
      <c r="L12" s="246">
        <f t="shared" si="3"/>
        <v>933653.78999999992</v>
      </c>
      <c r="M12" s="214">
        <f t="shared" si="4"/>
        <v>8.7414218972361617</v>
      </c>
      <c r="N12" s="246">
        <f>+'D21-ERC-FY18-P1'!N12+'D21-ERC-FY18-P23'!N12+'D21-ERC-FY18-P5'!N12</f>
        <v>0</v>
      </c>
      <c r="O12" s="246">
        <f>+'D21-ERC-FY18-P1'!O12+'D21-ERC-FY18-P23'!O12+'D21-ERC-FY18-P5'!O12</f>
        <v>0</v>
      </c>
      <c r="P12" s="246">
        <f>+'D21-ERC-FY18-P1'!P12+'D21-ERC-FY18-P23'!P12+'D21-ERC-FY18-P5'!P12</f>
        <v>0</v>
      </c>
      <c r="Q12" s="246">
        <f t="shared" si="5"/>
        <v>933653.78999999992</v>
      </c>
      <c r="R12" s="215">
        <f t="shared" si="6"/>
        <v>8.7414218972361617</v>
      </c>
      <c r="T12" s="51" t="b">
        <f t="shared" si="0"/>
        <v>1</v>
      </c>
    </row>
    <row r="13" spans="1:20" ht="15.75" x14ac:dyDescent="0.25">
      <c r="A13" s="209">
        <v>9</v>
      </c>
      <c r="B13" s="210" t="s">
        <v>323</v>
      </c>
      <c r="C13" s="203">
        <f>+'D21-ERC-FY18-P1'!C13+'D21-ERC-FY18-P23'!C13+'D21-ERC-FY18-P5'!C13</f>
        <v>38</v>
      </c>
      <c r="D13" s="203">
        <f t="shared" si="1"/>
        <v>38</v>
      </c>
      <c r="E13" s="204">
        <f>+'D21-ERC-FY18-P1'!E13+'D21-ERC-FY18-P23'!E13+'D21-ERC-FY18-P5'!E13</f>
        <v>1473.2631666666664</v>
      </c>
      <c r="F13" s="204">
        <f>+'D21-ERC-FY18-P1'!F13+'D21-ERC-FY18-P23'!F13+'D21-ERC-FY18-P5'!F13</f>
        <v>1231321.3299999998</v>
      </c>
      <c r="G13" s="212">
        <f t="shared" si="2"/>
        <v>2.6728093397625372E-2</v>
      </c>
      <c r="H13" s="211">
        <v>180</v>
      </c>
      <c r="I13" s="246">
        <f>+'D21-ERC-FY18-P1'!I13+'D21-ERC-FY18-P23'!I13+'D21-ERC-FY18-P5'!I13</f>
        <v>836707.31999999983</v>
      </c>
      <c r="J13" s="213" t="s">
        <v>470</v>
      </c>
      <c r="K13" s="246">
        <f>+'D21-ERC-FY18-P1'!K13+'D21-ERC-FY18-P23'!K13+'D21-ERC-FY18-P5'!K13</f>
        <v>11050912.140000001</v>
      </c>
      <c r="L13" s="246">
        <f t="shared" si="3"/>
        <v>11887619.460000001</v>
      </c>
      <c r="M13" s="214">
        <f t="shared" si="4"/>
        <v>9.6543600523837281</v>
      </c>
      <c r="N13" s="246">
        <f>+'D21-ERC-FY18-P1'!N13+'D21-ERC-FY18-P23'!N13+'D21-ERC-FY18-P5'!N13</f>
        <v>0</v>
      </c>
      <c r="O13" s="246">
        <f>+'D21-ERC-FY18-P1'!O13+'D21-ERC-FY18-P23'!O13+'D21-ERC-FY18-P5'!O13</f>
        <v>0</v>
      </c>
      <c r="P13" s="246">
        <f>+'D21-ERC-FY18-P1'!P13+'D21-ERC-FY18-P23'!P13+'D21-ERC-FY18-P5'!P13</f>
        <v>0</v>
      </c>
      <c r="Q13" s="246">
        <f t="shared" si="5"/>
        <v>11887619.460000001</v>
      </c>
      <c r="R13" s="215">
        <f t="shared" si="6"/>
        <v>9.6543600523837281</v>
      </c>
      <c r="T13" s="51" t="b">
        <f t="shared" si="0"/>
        <v>1</v>
      </c>
    </row>
    <row r="14" spans="1:20" ht="15.75" x14ac:dyDescent="0.25">
      <c r="A14" s="209">
        <v>10</v>
      </c>
      <c r="B14" s="210" t="s">
        <v>324</v>
      </c>
      <c r="C14" s="203">
        <f>+'D21-ERC-FY18-P1'!C14+'D21-ERC-FY18-P23'!C14+'D21-ERC-FY18-P5'!C14</f>
        <v>61</v>
      </c>
      <c r="D14" s="203">
        <f t="shared" si="1"/>
        <v>61</v>
      </c>
      <c r="E14" s="204">
        <f>+'D21-ERC-FY18-P1'!E14+'D21-ERC-FY18-P23'!E14+'D21-ERC-FY18-P5'!E14</f>
        <v>1528.8325833333338</v>
      </c>
      <c r="F14" s="204">
        <f>+'D21-ERC-FY18-P1'!F14+'D21-ERC-FY18-P23'!F14+'D21-ERC-FY18-P5'!F14</f>
        <v>758284.14999999979</v>
      </c>
      <c r="G14" s="212">
        <f t="shared" si="2"/>
        <v>1.6459951670892412E-2</v>
      </c>
      <c r="H14" s="211">
        <v>60</v>
      </c>
      <c r="I14" s="246">
        <f>+'D21-ERC-FY18-P1'!I14+'D21-ERC-FY18-P23'!I14+'D21-ERC-FY18-P5'!I14</f>
        <v>1125487.52</v>
      </c>
      <c r="J14" s="213" t="s">
        <v>471</v>
      </c>
      <c r="K14" s="246">
        <f>+'D21-ERC-FY18-P1'!K14+'D21-ERC-FY18-P23'!K14+'D21-ERC-FY18-P5'!K14</f>
        <v>6896993.6189999999</v>
      </c>
      <c r="L14" s="246">
        <f t="shared" si="3"/>
        <v>8022481.1390000004</v>
      </c>
      <c r="M14" s="214">
        <f t="shared" si="4"/>
        <v>10.579782181916901</v>
      </c>
      <c r="N14" s="246">
        <f>+'D21-ERC-FY18-P1'!N14+'D21-ERC-FY18-P23'!N14+'D21-ERC-FY18-P5'!N14</f>
        <v>0</v>
      </c>
      <c r="O14" s="246">
        <f>+'D21-ERC-FY18-P1'!O14+'D21-ERC-FY18-P23'!O14+'D21-ERC-FY18-P5'!O14</f>
        <v>0</v>
      </c>
      <c r="P14" s="246">
        <f>+'D21-ERC-FY18-P1'!P14+'D21-ERC-FY18-P23'!P14+'D21-ERC-FY18-P5'!P14</f>
        <v>0</v>
      </c>
      <c r="Q14" s="246">
        <f t="shared" si="5"/>
        <v>8022481.1390000004</v>
      </c>
      <c r="R14" s="215">
        <f t="shared" si="6"/>
        <v>10.579782181916901</v>
      </c>
      <c r="T14" s="51" t="b">
        <f t="shared" si="0"/>
        <v>1</v>
      </c>
    </row>
    <row r="15" spans="1:20" ht="15.75" x14ac:dyDescent="0.25">
      <c r="A15" s="209">
        <v>11</v>
      </c>
      <c r="B15" s="210" t="s">
        <v>325</v>
      </c>
      <c r="C15" s="203">
        <f>+'D21-ERC-FY18-P1'!C15+'D21-ERC-FY18-P23'!C15+'D21-ERC-FY18-P5'!C15</f>
        <v>12</v>
      </c>
      <c r="D15" s="203">
        <f t="shared" si="1"/>
        <v>12</v>
      </c>
      <c r="E15" s="204">
        <f>+'D21-ERC-FY18-P1'!E15+'D21-ERC-FY18-P23'!E15+'D21-ERC-FY18-P5'!E15</f>
        <v>96.370833333333337</v>
      </c>
      <c r="F15" s="204">
        <f>+'D21-ERC-FY18-P1'!F15+'D21-ERC-FY18-P23'!F15+'D21-ERC-FY18-P5'!F15</f>
        <v>10516</v>
      </c>
      <c r="G15" s="212">
        <f t="shared" si="2"/>
        <v>2.2826911491042589E-4</v>
      </c>
      <c r="H15" s="211">
        <v>120</v>
      </c>
      <c r="I15" s="246">
        <f>+'D21-ERC-FY18-P1'!I15+'D21-ERC-FY18-P23'!I15+'D21-ERC-FY18-P5'!I15</f>
        <v>5184</v>
      </c>
      <c r="J15" s="213" t="s">
        <v>471</v>
      </c>
      <c r="K15" s="246">
        <f>+'D21-ERC-FY18-P1'!K15+'D21-ERC-FY18-P23'!K15+'D21-ERC-FY18-P5'!K15</f>
        <v>60178.099999999991</v>
      </c>
      <c r="L15" s="246">
        <f t="shared" si="3"/>
        <v>65362.099999999991</v>
      </c>
      <c r="M15" s="214">
        <f t="shared" si="4"/>
        <v>6.2154906808672488</v>
      </c>
      <c r="N15" s="246">
        <f>+'D21-ERC-FY18-P1'!N15+'D21-ERC-FY18-P23'!N15+'D21-ERC-FY18-P5'!N15</f>
        <v>0</v>
      </c>
      <c r="O15" s="246">
        <f>+'D21-ERC-FY18-P1'!O15+'D21-ERC-FY18-P23'!O15+'D21-ERC-FY18-P5'!O15</f>
        <v>0</v>
      </c>
      <c r="P15" s="246">
        <f>+'D21-ERC-FY18-P1'!P15+'D21-ERC-FY18-P23'!P15+'D21-ERC-FY18-P5'!P15</f>
        <v>0</v>
      </c>
      <c r="Q15" s="246">
        <f t="shared" si="5"/>
        <v>65362.099999999991</v>
      </c>
      <c r="R15" s="215">
        <f t="shared" si="6"/>
        <v>6.2154906808672488</v>
      </c>
      <c r="T15" s="51" t="b">
        <f t="shared" si="0"/>
        <v>1</v>
      </c>
    </row>
    <row r="16" spans="1:20" ht="15.75" x14ac:dyDescent="0.25">
      <c r="A16" s="209">
        <v>12</v>
      </c>
      <c r="B16" s="210" t="s">
        <v>326</v>
      </c>
      <c r="C16" s="203">
        <f>+'D21-ERC-FY18-P1'!C16+'D21-ERC-FY18-P23'!C16+'D21-ERC-FY18-P5'!C16</f>
        <v>4</v>
      </c>
      <c r="D16" s="203">
        <f t="shared" si="1"/>
        <v>4</v>
      </c>
      <c r="E16" s="204">
        <f>+'D21-ERC-FY18-P1'!E16+'D21-ERC-FY18-P23'!E16+'D21-ERC-FY18-P5'!E16</f>
        <v>1820.7683333333334</v>
      </c>
      <c r="F16" s="204">
        <f>+'D21-ERC-FY18-P1'!F16+'D21-ERC-FY18-P23'!F16+'D21-ERC-FY18-P5'!F16</f>
        <v>12669.800000000001</v>
      </c>
      <c r="G16" s="212">
        <f t="shared" si="2"/>
        <v>2.7502130392659892E-4</v>
      </c>
      <c r="H16" s="211" t="s">
        <v>473</v>
      </c>
      <c r="I16" s="246">
        <f>+'D21-ERC-FY18-P1'!I16+'D21-ERC-FY18-P23'!I16+'D21-ERC-FY18-P5'!I16</f>
        <v>220536.66666666666</v>
      </c>
      <c r="J16" s="213" t="s">
        <v>474</v>
      </c>
      <c r="K16" s="246">
        <f>+'D21-ERC-FY18-P1'!K16+'D21-ERC-FY18-P23'!K16+'D21-ERC-FY18-P5'!K16</f>
        <v>69579.8</v>
      </c>
      <c r="L16" s="246">
        <f t="shared" si="3"/>
        <v>290116.46666666667</v>
      </c>
      <c r="M16" s="214">
        <f t="shared" si="4"/>
        <v>22.898267270727764</v>
      </c>
      <c r="N16" s="246">
        <f>+'D21-ERC-FY18-P1'!N16+'D21-ERC-FY18-P23'!N16+'D21-ERC-FY18-P5'!N16</f>
        <v>0</v>
      </c>
      <c r="O16" s="246">
        <f>+'D21-ERC-FY18-P1'!O16+'D21-ERC-FY18-P23'!O16+'D21-ERC-FY18-P5'!O16</f>
        <v>0</v>
      </c>
      <c r="P16" s="246">
        <f>+'D21-ERC-FY18-P1'!P16+'D21-ERC-FY18-P23'!P16+'D21-ERC-FY18-P5'!P16</f>
        <v>0</v>
      </c>
      <c r="Q16" s="246">
        <f t="shared" si="5"/>
        <v>290116.46666666667</v>
      </c>
      <c r="R16" s="215">
        <f t="shared" si="6"/>
        <v>22.898267270727764</v>
      </c>
      <c r="T16" s="51" t="b">
        <f t="shared" si="0"/>
        <v>1</v>
      </c>
    </row>
    <row r="17" spans="1:20" ht="15.75" x14ac:dyDescent="0.25">
      <c r="A17" s="209">
        <v>13</v>
      </c>
      <c r="B17" s="210" t="s">
        <v>327</v>
      </c>
      <c r="C17" s="203">
        <f>+'D21-ERC-FY18-P1'!C17+'D21-ERC-FY18-P23'!C17+'D21-ERC-FY18-P5'!C17</f>
        <v>6</v>
      </c>
      <c r="D17" s="203">
        <f t="shared" si="1"/>
        <v>6</v>
      </c>
      <c r="E17" s="204">
        <f>+'D21-ERC-FY18-P1'!E17+'D21-ERC-FY18-P23'!E17+'D21-ERC-FY18-P5'!E17</f>
        <v>250.27666666666659</v>
      </c>
      <c r="F17" s="204">
        <f>+'D21-ERC-FY18-P1'!F17+'D21-ERC-FY18-P23'!F17+'D21-ERC-FY18-P5'!F17</f>
        <v>48010.799999999996</v>
      </c>
      <c r="G17" s="212">
        <f t="shared" si="2"/>
        <v>1.0421626875372265E-3</v>
      </c>
      <c r="H17" s="211">
        <v>60</v>
      </c>
      <c r="I17" s="246">
        <f>+'D21-ERC-FY18-P1'!I17+'D21-ERC-FY18-P23'!I17+'D21-ERC-FY18-P5'!I17</f>
        <v>32169.05</v>
      </c>
      <c r="J17" s="213" t="s">
        <v>479</v>
      </c>
      <c r="K17" s="246">
        <f>+'D21-ERC-FY18-P1'!K17+'D21-ERC-FY18-P23'!K17+'D21-ERC-FY18-P5'!K17</f>
        <v>263460</v>
      </c>
      <c r="L17" s="246">
        <f t="shared" si="3"/>
        <v>295629.05</v>
      </c>
      <c r="M17" s="214">
        <f t="shared" si="4"/>
        <v>6.1575530922209172</v>
      </c>
      <c r="N17" s="246">
        <f>+'D21-ERC-FY18-P1'!N17+'D21-ERC-FY18-P23'!N17+'D21-ERC-FY18-P5'!N17</f>
        <v>0</v>
      </c>
      <c r="O17" s="246">
        <f>+'D21-ERC-FY18-P1'!O17+'D21-ERC-FY18-P23'!O17+'D21-ERC-FY18-P5'!O17</f>
        <v>0</v>
      </c>
      <c r="P17" s="246">
        <f>+'D21-ERC-FY18-P1'!P17+'D21-ERC-FY18-P23'!P17+'D21-ERC-FY18-P5'!P17</f>
        <v>0</v>
      </c>
      <c r="Q17" s="246">
        <f t="shared" si="5"/>
        <v>295629.05</v>
      </c>
      <c r="R17" s="215">
        <f t="shared" si="6"/>
        <v>6.1575530922209172</v>
      </c>
      <c r="T17" s="51" t="b">
        <f t="shared" si="0"/>
        <v>1</v>
      </c>
    </row>
    <row r="18" spans="1:20" ht="15.75" x14ac:dyDescent="0.25">
      <c r="A18" s="209">
        <v>14</v>
      </c>
      <c r="B18" s="210" t="s">
        <v>328</v>
      </c>
      <c r="C18" s="203">
        <f>+'D21-ERC-FY18-P1'!C18+'D21-ERC-FY18-P23'!C18+'D21-ERC-FY18-P5'!C18</f>
        <v>3</v>
      </c>
      <c r="D18" s="203">
        <f t="shared" si="1"/>
        <v>3</v>
      </c>
      <c r="E18" s="204">
        <f>+'D21-ERC-FY18-P1'!E18+'D21-ERC-FY18-P23'!E18+'D21-ERC-FY18-P5'!E18</f>
        <v>102.96916666666668</v>
      </c>
      <c r="F18" s="204">
        <f>+'D21-ERC-FY18-P1'!F18+'D21-ERC-FY18-P23'!F18+'D21-ERC-FY18-P5'!F18</f>
        <v>269568</v>
      </c>
      <c r="G18" s="212">
        <f t="shared" si="2"/>
        <v>5.8514690726677145E-3</v>
      </c>
      <c r="H18" s="211">
        <v>120</v>
      </c>
      <c r="I18" s="246">
        <f>+'D21-ERC-FY18-P1'!I18+'D21-ERC-FY18-P23'!I18+'D21-ERC-FY18-P5'!I18</f>
        <v>316808.08333333331</v>
      </c>
      <c r="J18" s="213" t="s">
        <v>481</v>
      </c>
      <c r="K18" s="246">
        <f>+'D21-ERC-FY18-P1'!K18+'D21-ERC-FY18-P23'!K18+'D21-ERC-FY18-P5'!K18</f>
        <v>1494445</v>
      </c>
      <c r="L18" s="246">
        <f t="shared" si="3"/>
        <v>1811253.0833333333</v>
      </c>
      <c r="M18" s="214">
        <f t="shared" si="4"/>
        <v>6.7190953055753404</v>
      </c>
      <c r="N18" s="246">
        <f>+'D21-ERC-FY18-P1'!N18+'D21-ERC-FY18-P23'!N18+'D21-ERC-FY18-P5'!N18</f>
        <v>0</v>
      </c>
      <c r="O18" s="246">
        <f>+'D21-ERC-FY18-P1'!O18+'D21-ERC-FY18-P23'!O18+'D21-ERC-FY18-P5'!O18</f>
        <v>0</v>
      </c>
      <c r="P18" s="246">
        <f>+'D21-ERC-FY18-P1'!P18+'D21-ERC-FY18-P23'!P18+'D21-ERC-FY18-P5'!P18</f>
        <v>37988</v>
      </c>
      <c r="Q18" s="246">
        <f t="shared" si="5"/>
        <v>1849241.0833333333</v>
      </c>
      <c r="R18" s="215">
        <f t="shared" si="6"/>
        <v>6.8600170767054447</v>
      </c>
      <c r="T18" s="51" t="b">
        <f t="shared" si="0"/>
        <v>1</v>
      </c>
    </row>
    <row r="19" spans="1:20" ht="15.75" x14ac:dyDescent="0.25">
      <c r="A19" s="209">
        <v>15</v>
      </c>
      <c r="B19" s="210" t="s">
        <v>401</v>
      </c>
      <c r="C19" s="203">
        <f>+'D21-ERC-FY18-P1'!C19+'D21-ERC-FY18-P23'!C19+'D21-ERC-FY18-P5'!C19</f>
        <v>1</v>
      </c>
      <c r="D19" s="203">
        <f t="shared" si="1"/>
        <v>1</v>
      </c>
      <c r="E19" s="204">
        <f>+'D21-ERC-FY18-P1'!E19+'D21-ERC-FY18-P23'!E19+'D21-ERC-FY18-P5'!E19</f>
        <v>16.719999999999995</v>
      </c>
      <c r="F19" s="204">
        <f>+'D21-ERC-FY18-P1'!F19+'D21-ERC-FY18-P23'!F19+'D21-ERC-FY18-P5'!F19</f>
        <v>4100</v>
      </c>
      <c r="G19" s="216">
        <f t="shared" si="2"/>
        <v>8.8998038335179368E-5</v>
      </c>
      <c r="H19" s="211">
        <v>40</v>
      </c>
      <c r="I19" s="246">
        <f>+'D21-ERC-FY18-P1'!I19+'D21-ERC-FY18-P23'!I19+'D21-ERC-FY18-P5'!I19</f>
        <v>30129.120000000006</v>
      </c>
      <c r="J19" s="213" t="s">
        <v>483</v>
      </c>
      <c r="K19" s="246">
        <f>+'D21-ERC-FY18-P1'!K19+'D21-ERC-FY18-P23'!K19+'D21-ERC-FY18-P5'!K19</f>
        <v>23250</v>
      </c>
      <c r="L19" s="246">
        <f t="shared" si="3"/>
        <v>53379.12000000001</v>
      </c>
      <c r="M19" s="214">
        <f t="shared" si="4"/>
        <v>13.019297560975613</v>
      </c>
      <c r="N19" s="246">
        <f>+'D21-ERC-FY18-P1'!N19+'D21-ERC-FY18-P23'!N19+'D21-ERC-FY18-P5'!N19</f>
        <v>0</v>
      </c>
      <c r="O19" s="246">
        <f>+'D21-ERC-FY18-P1'!O19+'D21-ERC-FY18-P23'!O19+'D21-ERC-FY18-P5'!O19</f>
        <v>0</v>
      </c>
      <c r="P19" s="246">
        <f>+'D21-ERC-FY18-P1'!P19+'D21-ERC-FY18-P23'!P19+'D21-ERC-FY18-P5'!P19</f>
        <v>0</v>
      </c>
      <c r="Q19" s="246">
        <f t="shared" si="5"/>
        <v>53379.12000000001</v>
      </c>
      <c r="R19" s="215">
        <f t="shared" si="6"/>
        <v>13.019297560975613</v>
      </c>
      <c r="T19" s="51" t="b">
        <f t="shared" si="0"/>
        <v>1</v>
      </c>
    </row>
    <row r="20" spans="1:20" ht="15.75" x14ac:dyDescent="0.25">
      <c r="A20" s="209">
        <v>16</v>
      </c>
      <c r="B20" s="210" t="s">
        <v>301</v>
      </c>
      <c r="C20" s="203">
        <f>+'D21-ERC-FY18-P1'!C20+'D21-ERC-FY18-P23'!C20+'D21-ERC-FY18-P5'!C20</f>
        <v>2</v>
      </c>
      <c r="D20" s="203">
        <f t="shared" si="1"/>
        <v>2</v>
      </c>
      <c r="E20" s="204">
        <f>+'D21-ERC-FY18-P1'!E20+'D21-ERC-FY18-P23'!E20+'D21-ERC-FY18-P5'!E20</f>
        <v>250</v>
      </c>
      <c r="F20" s="204">
        <f>+'D21-ERC-FY18-P1'!F20+'D21-ERC-FY18-P23'!F20+'D21-ERC-FY18-P5'!F20</f>
        <v>354090.28</v>
      </c>
      <c r="G20" s="212">
        <f t="shared" si="2"/>
        <v>7.6861805642815606E-3</v>
      </c>
      <c r="H20" s="211">
        <v>40</v>
      </c>
      <c r="I20" s="246">
        <f>+'D21-ERC-FY18-P1'!I20+'D21-ERC-FY18-P23'!I20+'D21-ERC-FY18-P5'!I20</f>
        <v>900000</v>
      </c>
      <c r="J20" s="213">
        <v>3.9</v>
      </c>
      <c r="K20" s="246">
        <f>+'D21-ERC-FY18-P1'!K20+'D21-ERC-FY18-P23'!K20+'D21-ERC-FY18-P5'!K20</f>
        <v>2118253</v>
      </c>
      <c r="L20" s="246">
        <f t="shared" si="3"/>
        <v>3018253</v>
      </c>
      <c r="M20" s="214">
        <f t="shared" si="4"/>
        <v>8.5239645663247234</v>
      </c>
      <c r="N20" s="246">
        <f>+'D21-ERC-FY18-P1'!N20+'D21-ERC-FY18-P23'!N20+'D21-ERC-FY18-P5'!N20</f>
        <v>0</v>
      </c>
      <c r="O20" s="246">
        <f>+'D21-ERC-FY18-P1'!O20+'D21-ERC-FY18-P23'!O20+'D21-ERC-FY18-P5'!O20</f>
        <v>0</v>
      </c>
      <c r="P20" s="246">
        <f>+'D21-ERC-FY18-P1'!P20+'D21-ERC-FY18-P23'!P20+'D21-ERC-FY18-P5'!P20</f>
        <v>0</v>
      </c>
      <c r="Q20" s="246">
        <f t="shared" si="5"/>
        <v>3018253</v>
      </c>
      <c r="R20" s="215">
        <f t="shared" si="6"/>
        <v>8.5239645663247234</v>
      </c>
      <c r="T20" s="51" t="b">
        <f t="shared" si="0"/>
        <v>1</v>
      </c>
    </row>
    <row r="21" spans="1:20" ht="16.5" thickBot="1" x14ac:dyDescent="0.3">
      <c r="A21" s="217">
        <v>17</v>
      </c>
      <c r="B21" s="218" t="s">
        <v>65</v>
      </c>
      <c r="C21" s="203">
        <f>+'D21-ERC-FY18-P1'!C21+'D21-ERC-FY18-P23'!C21+'D21-ERC-FY18-P5'!C21</f>
        <v>17</v>
      </c>
      <c r="D21" s="203">
        <f t="shared" si="1"/>
        <v>17</v>
      </c>
      <c r="E21" s="204">
        <f>+'D21-ERC-FY18-P1'!E21+'D21-ERC-FY18-P23'!E21+'D21-ERC-FY18-P5'!E21</f>
        <v>149.50755555555554</v>
      </c>
      <c r="F21" s="204">
        <f>+'D21-ERC-FY18-P1'!F21+'D21-ERC-FY18-P23'!F21+'D21-ERC-FY18-P5'!F21</f>
        <v>273010.75</v>
      </c>
      <c r="G21" s="220">
        <f t="shared" si="2"/>
        <v>5.9262002913209929E-3</v>
      </c>
      <c r="H21" s="219">
        <v>125</v>
      </c>
      <c r="I21" s="246">
        <f>+'D21-ERC-FY18-P1'!I21+'D21-ERC-FY18-P23'!I21+'D21-ERC-FY18-P5'!I21</f>
        <v>7191</v>
      </c>
      <c r="J21" s="221">
        <v>6</v>
      </c>
      <c r="K21" s="246">
        <f>+'D21-ERC-FY18-P1'!K21+'D21-ERC-FY18-P23'!K21+'D21-ERC-FY18-P5'!K21</f>
        <v>1096729.6000000001</v>
      </c>
      <c r="L21" s="246">
        <f t="shared" si="3"/>
        <v>1103920.6000000001</v>
      </c>
      <c r="M21" s="222">
        <f t="shared" si="4"/>
        <v>4.0435059791601615</v>
      </c>
      <c r="N21" s="246">
        <f>+'D21-ERC-FY18-P1'!N21+'D21-ERC-FY18-P23'!N21+'D21-ERC-FY18-P5'!N21</f>
        <v>0</v>
      </c>
      <c r="O21" s="246">
        <f>+'D21-ERC-FY18-P1'!O21+'D21-ERC-FY18-P23'!O21+'D21-ERC-FY18-P5'!O21</f>
        <v>0</v>
      </c>
      <c r="P21" s="246">
        <f>+'D21-ERC-FY18-P1'!P21+'D21-ERC-FY18-P23'!P21+'D21-ERC-FY18-P5'!P21</f>
        <v>0</v>
      </c>
      <c r="Q21" s="246">
        <f t="shared" si="5"/>
        <v>1103920.6000000001</v>
      </c>
      <c r="R21" s="223">
        <f t="shared" si="6"/>
        <v>4.0435059791601615</v>
      </c>
      <c r="T21" s="51" t="b">
        <f t="shared" si="0"/>
        <v>1</v>
      </c>
    </row>
    <row r="22" spans="1:20" ht="16.5" thickBot="1" x14ac:dyDescent="0.3">
      <c r="A22" s="224">
        <v>18</v>
      </c>
      <c r="B22" s="225" t="s">
        <v>450</v>
      </c>
      <c r="C22" s="225">
        <f>SUM(C5:C21)</f>
        <v>825</v>
      </c>
      <c r="D22" s="225">
        <f>SUM(D5:D21)</f>
        <v>825</v>
      </c>
      <c r="E22" s="228">
        <f>SUM(E5:E21)</f>
        <v>56474.724722222214</v>
      </c>
      <c r="F22" s="225">
        <f>SUM(F5:F21)</f>
        <v>46068431.132816799</v>
      </c>
      <c r="G22" s="226">
        <f t="shared" si="2"/>
        <v>1</v>
      </c>
      <c r="H22" s="227"/>
      <c r="I22" s="249">
        <f>SUM(I4:I21)</f>
        <v>61593230.707500003</v>
      </c>
      <c r="J22" s="228"/>
      <c r="K22" s="249">
        <f>SUM(K4:K21)</f>
        <v>289188421.75160086</v>
      </c>
      <c r="L22" s="249">
        <f>SUM(L4:L21)</f>
        <v>350781644.45910078</v>
      </c>
      <c r="M22" s="229">
        <f t="shared" si="4"/>
        <v>7.6143605465483679</v>
      </c>
      <c r="N22" s="249">
        <f>SUM(N4:N21)</f>
        <v>167871.16666666666</v>
      </c>
      <c r="O22" s="249">
        <f>SUM(O4:O21)</f>
        <v>5449087.3399999999</v>
      </c>
      <c r="P22" s="249">
        <f>SUM(P4:P21)</f>
        <v>8151325</v>
      </c>
      <c r="Q22" s="249">
        <f>SUM(Q4:Q21)</f>
        <v>353651743.28576738</v>
      </c>
      <c r="R22" s="230">
        <f t="shared" si="6"/>
        <v>7.676661318597497</v>
      </c>
      <c r="T22" s="51" t="b">
        <f t="shared" si="0"/>
        <v>0</v>
      </c>
    </row>
    <row r="23" spans="1:20" ht="15.75" x14ac:dyDescent="0.25">
      <c r="A23" s="202">
        <v>19</v>
      </c>
      <c r="B23" s="203" t="s">
        <v>496</v>
      </c>
      <c r="C23" s="203">
        <f>+'D21-ERC-FY18-P1'!C23+'D21-ERC-FY18-P23'!C23+'D21-ERC-FY18-P5'!C23</f>
        <v>17</v>
      </c>
      <c r="D23" s="203">
        <f t="shared" si="1"/>
        <v>17</v>
      </c>
      <c r="E23" s="204">
        <f>+'D21-ERC-FY18-P1'!E23+'D21-ERC-FY18-P23'!E23+'D21-ERC-FY18-P5'!E23</f>
        <v>11362.221666666668</v>
      </c>
      <c r="F23" s="204">
        <f>+'D21-ERC-FY18-P1'!F23+'D21-ERC-FY18-P23'!F23+'D21-ERC-FY18-P5'!F23</f>
        <v>37922752.519999996</v>
      </c>
      <c r="G23" s="205">
        <f>F23/$F$26</f>
        <v>0.97209752000362792</v>
      </c>
      <c r="H23" s="204">
        <v>300</v>
      </c>
      <c r="I23" s="246">
        <f>+'D21-ERC-FY18-P1'!I23+'D21-ERC-FY18-P23'!I23+'D21-ERC-FY18-P5'!I23</f>
        <v>42051216.700000003</v>
      </c>
      <c r="J23" s="206">
        <v>5.8</v>
      </c>
      <c r="K23" s="246">
        <f>+'D21-ERC-FY18-P1'!K23+'D21-ERC-FY18-P23'!K23+'D21-ERC-FY18-P5'!K23</f>
        <v>224025723.90200001</v>
      </c>
      <c r="L23" s="246">
        <f t="shared" si="3"/>
        <v>266076940.602</v>
      </c>
      <c r="M23" s="207">
        <f t="shared" si="4"/>
        <v>7.0162876616531005</v>
      </c>
      <c r="N23" s="246">
        <f>+'D21-ERC-FY18-P1'!N23+'D21-ERC-FY18-P23'!N23+'D21-ERC-FY18-P5'!N23</f>
        <v>1105740</v>
      </c>
      <c r="O23" s="246">
        <f>+'D21-ERC-FY18-P1'!O23+'D21-ERC-FY18-P23'!O23+'D21-ERC-FY18-P5'!O23</f>
        <v>8070096.4900000002</v>
      </c>
      <c r="P23" s="246">
        <f>+'D21-ERC-FY18-P1'!P23+'D21-ERC-FY18-P23'!P23+'D21-ERC-FY18-P5'!P23</f>
        <v>377</v>
      </c>
      <c r="Q23" s="246">
        <f t="shared" si="5"/>
        <v>259112961.11199999</v>
      </c>
      <c r="R23" s="208">
        <f t="shared" si="6"/>
        <v>6.8326517431810094</v>
      </c>
      <c r="T23" s="51" t="b">
        <f>Q23=L23+N23-O23+P23</f>
        <v>1</v>
      </c>
    </row>
    <row r="24" spans="1:20" ht="15.75" x14ac:dyDescent="0.25">
      <c r="A24" s="209">
        <v>20</v>
      </c>
      <c r="B24" s="210" t="s">
        <v>495</v>
      </c>
      <c r="C24" s="203">
        <f>+'D21-ERC-FY18-P1'!C24+'D21-ERC-FY18-P23'!C24+'D21-ERC-FY18-P5'!C24</f>
        <v>1</v>
      </c>
      <c r="D24" s="203">
        <f t="shared" si="1"/>
        <v>1</v>
      </c>
      <c r="E24" s="204">
        <f>+'D21-ERC-FY18-P1'!E24+'D21-ERC-FY18-P23'!E24+'D21-ERC-FY18-P5'!E24</f>
        <v>109.76249999999999</v>
      </c>
      <c r="F24" s="204">
        <f>+'D21-ERC-FY18-P1'!F24+'D21-ERC-FY18-P23'!F24+'D21-ERC-FY18-P5'!F24</f>
        <v>415014</v>
      </c>
      <c r="G24" s="212">
        <f>F24/$F$26</f>
        <v>1.0638312183537295E-2</v>
      </c>
      <c r="H24" s="211">
        <v>350</v>
      </c>
      <c r="I24" s="246">
        <f>+'D21-ERC-FY18-P1'!I24+'D21-ERC-FY18-P23'!I24+'D21-ERC-FY18-P5'!I24</f>
        <v>461002.5</v>
      </c>
      <c r="J24" s="213">
        <v>5.4</v>
      </c>
      <c r="K24" s="246">
        <f>+'D21-ERC-FY18-P1'!K24+'D21-ERC-FY18-P23'!K24+'D21-ERC-FY18-P5'!K24</f>
        <v>2256638.4</v>
      </c>
      <c r="L24" s="246">
        <f t="shared" si="3"/>
        <v>2717640.9</v>
      </c>
      <c r="M24" s="214">
        <f t="shared" si="4"/>
        <v>6.5483113822666219</v>
      </c>
      <c r="N24" s="246">
        <f>+'D21-ERC-FY18-P1'!N24+'D21-ERC-FY18-P23'!N24+'D21-ERC-FY18-P5'!N24</f>
        <v>0</v>
      </c>
      <c r="O24" s="246">
        <f>+'D21-ERC-FY18-P1'!O24+'D21-ERC-FY18-P23'!O24+'D21-ERC-FY18-P5'!O24</f>
        <v>73502.880000000005</v>
      </c>
      <c r="P24" s="246">
        <f>+'D21-ERC-FY18-P1'!P24+'D21-ERC-FY18-P23'!P24+'D21-ERC-FY18-P5'!P24</f>
        <v>548</v>
      </c>
      <c r="Q24" s="246">
        <f t="shared" si="5"/>
        <v>2644686.02</v>
      </c>
      <c r="R24" s="215">
        <f t="shared" si="6"/>
        <v>6.3725224209303786</v>
      </c>
      <c r="T24" s="51" t="b">
        <f>Q24=L24+N24-O24+P24</f>
        <v>1</v>
      </c>
    </row>
    <row r="25" spans="1:20" ht="16.5" thickBot="1" x14ac:dyDescent="0.3">
      <c r="A25" s="217">
        <v>21</v>
      </c>
      <c r="B25" s="218" t="s">
        <v>66</v>
      </c>
      <c r="C25" s="203">
        <f>+'D21-ERC-FY18-P1'!C25+'D21-ERC-FY18-P23'!C25+'D21-ERC-FY18-P5'!C25</f>
        <v>1</v>
      </c>
      <c r="D25" s="203">
        <f t="shared" si="1"/>
        <v>1</v>
      </c>
      <c r="E25" s="204">
        <f>+'D21-ERC-FY18-P1'!E25+'D21-ERC-FY18-P23'!E25+'D21-ERC-FY18-P5'!E25</f>
        <v>142.85</v>
      </c>
      <c r="F25" s="204">
        <f>+'D21-ERC-FY18-P1'!F25+'D21-ERC-FY18-P23'!F25+'D21-ERC-FY18-P5'!F25</f>
        <v>673497</v>
      </c>
      <c r="G25" s="220">
        <f>F25/$F$26</f>
        <v>1.7264167812834789E-2</v>
      </c>
      <c r="H25" s="219">
        <v>400</v>
      </c>
      <c r="I25" s="246">
        <f>+'D21-ERC-FY18-P1'!I25+'D21-ERC-FY18-P23'!I25+'D21-ERC-FY18-P5'!I25</f>
        <v>721860</v>
      </c>
      <c r="J25" s="221" t="s">
        <v>493</v>
      </c>
      <c r="K25" s="246">
        <f>+'D21-ERC-FY18-P1'!K25+'D21-ERC-FY18-P23'!K25+'D21-ERC-FY18-P5'!K25</f>
        <v>4996178.4000000004</v>
      </c>
      <c r="L25" s="246">
        <f t="shared" si="3"/>
        <v>5718038.4000000004</v>
      </c>
      <c r="M25" s="222">
        <f t="shared" si="4"/>
        <v>8.4900725615704307</v>
      </c>
      <c r="N25" s="246">
        <f>+'D21-ERC-FY18-P1'!N25+'D21-ERC-FY18-P23'!N25+'D21-ERC-FY18-P5'!N25</f>
        <v>0</v>
      </c>
      <c r="O25" s="246">
        <f>+'D21-ERC-FY18-P1'!O25+'D21-ERC-FY18-P23'!O25+'D21-ERC-FY18-P5'!O25</f>
        <v>242931.64</v>
      </c>
      <c r="P25" s="246">
        <f>+'D21-ERC-FY18-P1'!P25+'D21-ERC-FY18-P23'!P25+'D21-ERC-FY18-P5'!P25</f>
        <v>0</v>
      </c>
      <c r="Q25" s="246">
        <f t="shared" si="5"/>
        <v>5475106.7600000007</v>
      </c>
      <c r="R25" s="223">
        <f t="shared" si="6"/>
        <v>8.1293706727721151</v>
      </c>
      <c r="T25" s="51" t="b">
        <f>Q25=L25+N25-O25+P25</f>
        <v>1</v>
      </c>
    </row>
    <row r="26" spans="1:20" ht="15.75" x14ac:dyDescent="0.25">
      <c r="A26" s="231">
        <v>22</v>
      </c>
      <c r="B26" s="232" t="s">
        <v>451</v>
      </c>
      <c r="C26" s="233">
        <f>SUM(C23:C25)</f>
        <v>19</v>
      </c>
      <c r="D26" s="233">
        <f>SUM(D23:D25)</f>
        <v>19</v>
      </c>
      <c r="E26" s="233">
        <f>SUM(E23:E25)</f>
        <v>11614.834166666669</v>
      </c>
      <c r="F26" s="233">
        <f>SUM(F23:F25)</f>
        <v>39011263.519999996</v>
      </c>
      <c r="G26" s="234">
        <f>F26/$F$26</f>
        <v>1</v>
      </c>
      <c r="H26" s="233"/>
      <c r="I26" s="250">
        <f>SUM(I23:I25)</f>
        <v>43234079.200000003</v>
      </c>
      <c r="J26" s="233"/>
      <c r="K26" s="250">
        <f>SUM(K23:K25)</f>
        <v>231278540.70200002</v>
      </c>
      <c r="L26" s="250">
        <f>SUM(L23:L25)</f>
        <v>274512619.90199995</v>
      </c>
      <c r="M26" s="235">
        <f t="shared" si="4"/>
        <v>7.0367528537306905</v>
      </c>
      <c r="N26" s="250">
        <f>SUM(N23:N25)</f>
        <v>1105740</v>
      </c>
      <c r="O26" s="250">
        <f>SUM(O23:O25)</f>
        <v>8386531.0099999998</v>
      </c>
      <c r="P26" s="250">
        <f>SUM(P23:P25)</f>
        <v>925</v>
      </c>
      <c r="Q26" s="250">
        <f>SUM(Q23:Q25)</f>
        <v>267232753.89199999</v>
      </c>
      <c r="R26" s="236">
        <f t="shared" si="6"/>
        <v>6.8501435170126479</v>
      </c>
      <c r="T26" s="51" t="b">
        <f>Q26=L26+N26-O26+P26</f>
        <v>1</v>
      </c>
    </row>
    <row r="27" spans="1:20" ht="16.5" thickBot="1" x14ac:dyDescent="0.3">
      <c r="A27" s="237">
        <v>23</v>
      </c>
      <c r="B27" s="238" t="s">
        <v>358</v>
      </c>
      <c r="C27" s="238">
        <f>C22+C26</f>
        <v>844</v>
      </c>
      <c r="D27" s="238">
        <f>D22+D26</f>
        <v>844</v>
      </c>
      <c r="E27" s="238">
        <f>E22+E26</f>
        <v>68089.558888888889</v>
      </c>
      <c r="F27" s="238">
        <f>F22+F26</f>
        <v>85079694.652816802</v>
      </c>
      <c r="G27" s="238"/>
      <c r="H27" s="238"/>
      <c r="I27" s="251">
        <f>I22+I26</f>
        <v>104827309.9075</v>
      </c>
      <c r="J27" s="238"/>
      <c r="K27" s="251">
        <f>K22+K26</f>
        <v>520466962.45360088</v>
      </c>
      <c r="L27" s="251">
        <f>L22+L26</f>
        <v>625294264.36110067</v>
      </c>
      <c r="M27" s="238">
        <f>ROUND(L27/F27,2)</f>
        <v>7.35</v>
      </c>
      <c r="N27" s="251">
        <f>N22+N26</f>
        <v>1273611.1666666667</v>
      </c>
      <c r="O27" s="251">
        <f>O22+O26</f>
        <v>13835618.35</v>
      </c>
      <c r="P27" s="251">
        <f>P22+P26</f>
        <v>8152250</v>
      </c>
      <c r="Q27" s="251">
        <f>Q22+Q26</f>
        <v>620884497.1777674</v>
      </c>
      <c r="R27" s="239">
        <f t="shared" si="6"/>
        <v>7.2976813058791494</v>
      </c>
    </row>
    <row r="28" spans="1:20" ht="15.75" x14ac:dyDescent="0.25">
      <c r="A28" s="202">
        <v>24</v>
      </c>
      <c r="B28" s="203" t="s">
        <v>25</v>
      </c>
      <c r="C28" s="203"/>
      <c r="D28" s="203"/>
      <c r="E28" s="204"/>
      <c r="F28" s="204"/>
      <c r="G28" s="204"/>
      <c r="H28" s="204"/>
      <c r="I28" s="204"/>
      <c r="J28" s="204"/>
      <c r="K28" s="204"/>
      <c r="L28" s="204"/>
      <c r="M28" s="207"/>
      <c r="N28" s="204"/>
      <c r="O28" s="204"/>
      <c r="P28" s="204"/>
      <c r="Q28" s="246">
        <f>+'D21-ERC-FY18-P1'!Q28+'D21-ERC-FY18-P23'!Q28+'D21-ERC-FY18-P5'!Q28</f>
        <v>33340602.411260072</v>
      </c>
      <c r="R28" s="208"/>
    </row>
    <row r="29" spans="1:20" ht="15.75" x14ac:dyDescent="0.25">
      <c r="A29" s="209">
        <v>25</v>
      </c>
      <c r="B29" s="210" t="s">
        <v>26</v>
      </c>
      <c r="C29" s="210"/>
      <c r="D29" s="210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47">
        <f>+Q27+Q28</f>
        <v>654225099.58902752</v>
      </c>
      <c r="R29" s="215"/>
    </row>
    <row r="30" spans="1:20" ht="16.5" thickBot="1" x14ac:dyDescent="0.3">
      <c r="A30" s="217">
        <v>26</v>
      </c>
      <c r="B30" s="218" t="s">
        <v>498</v>
      </c>
      <c r="C30" s="218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48">
        <f>+'D21-ERC-FY18-P1'!Q30+'D21-ERC-FY18-P23'!Q30+'D21-ERC-FY18-P5'!Q30</f>
        <v>33396627.684468493</v>
      </c>
      <c r="R30" s="223"/>
    </row>
    <row r="31" spans="1:20" ht="16.5" thickBot="1" x14ac:dyDescent="0.3">
      <c r="A31" s="224">
        <v>27</v>
      </c>
      <c r="B31" s="225" t="s">
        <v>489</v>
      </c>
      <c r="C31" s="225"/>
      <c r="D31" s="225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49">
        <f>Q29-Q30</f>
        <v>620828471.90455902</v>
      </c>
      <c r="R31" s="230"/>
    </row>
    <row r="33" spans="1:17" ht="15.75" hidden="1" x14ac:dyDescent="0.25">
      <c r="P33" s="252" t="s">
        <v>497</v>
      </c>
      <c r="Q33" s="966">
        <f>Q31/10^5</f>
        <v>6208.2847190455905</v>
      </c>
    </row>
    <row r="37" spans="1:17" ht="16.5" x14ac:dyDescent="0.3">
      <c r="A37" s="950" t="s">
        <v>723</v>
      </c>
      <c r="B37" s="951"/>
      <c r="C37" s="951"/>
      <c r="D37" s="952"/>
      <c r="E37" s="952"/>
      <c r="L37" s="953" t="s">
        <v>724</v>
      </c>
    </row>
    <row r="38" spans="1:17" ht="16.5" x14ac:dyDescent="0.3">
      <c r="A38" s="950" t="s">
        <v>725</v>
      </c>
      <c r="B38" s="951"/>
      <c r="C38" s="951"/>
      <c r="D38" s="952"/>
      <c r="E38" s="952"/>
      <c r="L38" s="954" t="s">
        <v>726</v>
      </c>
    </row>
    <row r="39" spans="1:17" ht="15.75" x14ac:dyDescent="0.25">
      <c r="A39" s="952"/>
      <c r="B39" s="952"/>
      <c r="C39" s="952"/>
      <c r="D39" s="952"/>
      <c r="E39" s="955"/>
      <c r="L39" s="952"/>
    </row>
    <row r="40" spans="1:17" ht="15.75" x14ac:dyDescent="0.25">
      <c r="A40" s="952"/>
      <c r="B40" s="952"/>
      <c r="C40" s="952"/>
      <c r="D40" s="952"/>
      <c r="E40" s="955"/>
      <c r="L40" s="952"/>
    </row>
    <row r="41" spans="1:17" ht="15.75" x14ac:dyDescent="0.25">
      <c r="A41" s="952"/>
      <c r="B41" s="952"/>
      <c r="C41" s="952"/>
      <c r="D41" s="952"/>
      <c r="E41" s="955"/>
      <c r="L41" s="952"/>
    </row>
    <row r="42" spans="1:17" ht="15.75" x14ac:dyDescent="0.25">
      <c r="A42" s="952"/>
      <c r="B42" s="952"/>
      <c r="C42" s="952"/>
      <c r="D42" s="952"/>
      <c r="E42" s="952"/>
      <c r="L42" s="952"/>
    </row>
    <row r="43" spans="1:17" ht="16.5" x14ac:dyDescent="0.3">
      <c r="A43" s="963" t="s">
        <v>731</v>
      </c>
      <c r="B43" s="956"/>
      <c r="C43" s="957"/>
      <c r="D43" s="952"/>
      <c r="E43" s="952"/>
      <c r="L43" s="958" t="s">
        <v>728</v>
      </c>
    </row>
    <row r="44" spans="1:17" ht="16.5" x14ac:dyDescent="0.3">
      <c r="A44" s="963" t="s">
        <v>732</v>
      </c>
      <c r="B44" s="959"/>
      <c r="C44" s="957"/>
      <c r="D44" s="952"/>
      <c r="E44" s="960"/>
      <c r="L44" s="958" t="s">
        <v>730</v>
      </c>
    </row>
    <row r="45" spans="1:17" ht="15.75" x14ac:dyDescent="0.25">
      <c r="A45" s="961"/>
      <c r="B45" s="961"/>
      <c r="C45" s="961"/>
      <c r="D45" s="961"/>
      <c r="E45" s="952"/>
      <c r="F45" s="952"/>
    </row>
    <row r="46" spans="1:17" ht="15.75" x14ac:dyDescent="0.25">
      <c r="A46" s="961"/>
      <c r="B46" s="961"/>
      <c r="C46" s="961"/>
      <c r="D46" s="952"/>
      <c r="E46" s="958"/>
      <c r="F46" s="952"/>
    </row>
    <row r="47" spans="1:17" ht="16.5" x14ac:dyDescent="0.3">
      <c r="A47" s="952"/>
      <c r="B47" s="961"/>
      <c r="C47" s="961"/>
      <c r="D47" s="952"/>
      <c r="E47" s="962"/>
      <c r="F47" s="952"/>
    </row>
    <row r="48" spans="1:17" ht="16.5" x14ac:dyDescent="0.3">
      <c r="B48" s="961"/>
      <c r="C48" s="961"/>
      <c r="D48" s="14"/>
      <c r="E48" s="962"/>
      <c r="F48" s="952"/>
    </row>
    <row r="49" spans="2:6" ht="15.75" x14ac:dyDescent="0.25">
      <c r="B49" s="964"/>
      <c r="C49" s="964"/>
      <c r="D49" s="964"/>
      <c r="E49" s="965"/>
      <c r="F49" s="952"/>
    </row>
  </sheetData>
  <mergeCells count="2">
    <mergeCell ref="A1:R1"/>
    <mergeCell ref="A2:R2"/>
  </mergeCells>
  <printOptions horizontalCentered="1" verticalCentered="1"/>
  <pageMargins left="0.25" right="0.25" top="0.75" bottom="0.75" header="0.3" footer="0.3"/>
  <pageSetup paperSize="9" scale="54" fitToHeight="0" orientation="landscape" r:id="rId1"/>
  <ignoredErrors>
    <ignoredError sqref="C22:E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  <pageSetUpPr fitToPage="1"/>
  </sheetPr>
  <dimension ref="A1:T49"/>
  <sheetViews>
    <sheetView tabSelected="1" zoomScale="70" zoomScaleNormal="70" workbookViewId="0">
      <selection activeCell="K7" sqref="K7"/>
    </sheetView>
  </sheetViews>
  <sheetFormatPr defaultRowHeight="15.75" x14ac:dyDescent="0.25"/>
  <cols>
    <col min="1" max="1" width="9.140625" style="252"/>
    <col min="2" max="2" width="57.42578125" style="252" bestFit="1" customWidth="1"/>
    <col min="3" max="3" width="5" style="252" bestFit="1" customWidth="1"/>
    <col min="4" max="4" width="7.28515625" style="252" bestFit="1" customWidth="1"/>
    <col min="5" max="5" width="10.7109375" style="252" customWidth="1"/>
    <col min="6" max="6" width="14.42578125" style="252" bestFit="1" customWidth="1"/>
    <col min="7" max="7" width="12.85546875" style="252" bestFit="1" customWidth="1"/>
    <col min="8" max="8" width="11.28515625" style="252" customWidth="1"/>
    <col min="9" max="9" width="15.7109375" style="252" customWidth="1"/>
    <col min="10" max="10" width="17.85546875" style="252" customWidth="1"/>
    <col min="11" max="12" width="15.85546875" style="252" bestFit="1" customWidth="1"/>
    <col min="13" max="13" width="8.7109375" style="252" bestFit="1" customWidth="1"/>
    <col min="14" max="16" width="12.85546875" style="252" bestFit="1" customWidth="1"/>
    <col min="17" max="17" width="15.85546875" style="252" bestFit="1" customWidth="1"/>
    <col min="18" max="18" width="6.85546875" style="252" bestFit="1" customWidth="1"/>
    <col min="19" max="16384" width="9.140625" style="252"/>
  </cols>
  <sheetData>
    <row r="1" spans="1:20" ht="17.25" thickBot="1" x14ac:dyDescent="0.35">
      <c r="A1" s="994" t="s">
        <v>507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995"/>
      <c r="R1" s="996"/>
    </row>
    <row r="2" spans="1:20" ht="16.5" thickBot="1" x14ac:dyDescent="0.3">
      <c r="A2" s="997" t="s">
        <v>303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9"/>
    </row>
    <row r="3" spans="1:20" ht="147" x14ac:dyDescent="0.25">
      <c r="A3" s="194" t="s">
        <v>445</v>
      </c>
      <c r="B3" s="195" t="s">
        <v>1</v>
      </c>
      <c r="C3" s="196" t="s">
        <v>19</v>
      </c>
      <c r="D3" s="196" t="s">
        <v>20</v>
      </c>
      <c r="E3" s="197" t="s">
        <v>446</v>
      </c>
      <c r="F3" s="197" t="s">
        <v>295</v>
      </c>
      <c r="G3" s="197" t="s">
        <v>21</v>
      </c>
      <c r="H3" s="197" t="s">
        <v>505</v>
      </c>
      <c r="I3" s="197" t="s">
        <v>308</v>
      </c>
      <c r="J3" s="197" t="s">
        <v>506</v>
      </c>
      <c r="K3" s="197" t="s">
        <v>309</v>
      </c>
      <c r="L3" s="197" t="s">
        <v>67</v>
      </c>
      <c r="M3" s="197" t="s">
        <v>23</v>
      </c>
      <c r="N3" s="197" t="s">
        <v>447</v>
      </c>
      <c r="O3" s="197" t="s">
        <v>304</v>
      </c>
      <c r="P3" s="197" t="s">
        <v>305</v>
      </c>
      <c r="Q3" s="197" t="s">
        <v>448</v>
      </c>
      <c r="R3" s="198" t="s">
        <v>449</v>
      </c>
      <c r="T3" s="253" t="s">
        <v>488</v>
      </c>
    </row>
    <row r="4" spans="1:20" ht="16.5" thickBot="1" x14ac:dyDescent="0.3">
      <c r="A4" s="199">
        <v>1</v>
      </c>
      <c r="B4" s="200">
        <v>2</v>
      </c>
      <c r="C4" s="200">
        <v>3</v>
      </c>
      <c r="D4" s="200">
        <v>4</v>
      </c>
      <c r="E4" s="200">
        <v>5</v>
      </c>
      <c r="F4" s="200">
        <v>6</v>
      </c>
      <c r="G4" s="200">
        <v>7</v>
      </c>
      <c r="H4" s="200">
        <v>8</v>
      </c>
      <c r="I4" s="200">
        <v>9</v>
      </c>
      <c r="J4" s="200">
        <v>10</v>
      </c>
      <c r="K4" s="200">
        <v>11</v>
      </c>
      <c r="L4" s="200">
        <v>12</v>
      </c>
      <c r="M4" s="200">
        <v>13</v>
      </c>
      <c r="N4" s="200">
        <v>14</v>
      </c>
      <c r="O4" s="200">
        <v>15</v>
      </c>
      <c r="P4" s="200">
        <v>16</v>
      </c>
      <c r="Q4" s="200">
        <v>17</v>
      </c>
      <c r="R4" s="201">
        <v>18</v>
      </c>
      <c r="T4" s="254"/>
    </row>
    <row r="5" spans="1:20" x14ac:dyDescent="0.25">
      <c r="A5" s="202">
        <v>1</v>
      </c>
      <c r="B5" s="203" t="s">
        <v>315</v>
      </c>
      <c r="C5" s="203">
        <v>37</v>
      </c>
      <c r="D5" s="203">
        <f>C5</f>
        <v>37</v>
      </c>
      <c r="E5" s="204">
        <v>221.82150000000004</v>
      </c>
      <c r="F5" s="204">
        <v>160869.47</v>
      </c>
      <c r="G5" s="205">
        <f>F5/$F$22</f>
        <v>4.3575101738351574E-3</v>
      </c>
      <c r="H5" s="204">
        <v>100</v>
      </c>
      <c r="I5" s="246">
        <v>37000</v>
      </c>
      <c r="J5" s="206">
        <v>5.8</v>
      </c>
      <c r="K5" s="246">
        <v>963614.21999999986</v>
      </c>
      <c r="L5" s="246">
        <f>+K5+I5</f>
        <v>1000614.2199999999</v>
      </c>
      <c r="M5" s="207">
        <f>L5/F5</f>
        <v>6.2200380221306117</v>
      </c>
      <c r="N5" s="246">
        <v>0</v>
      </c>
      <c r="O5" s="246">
        <v>0</v>
      </c>
      <c r="P5" s="246">
        <v>0</v>
      </c>
      <c r="Q5" s="246">
        <f>+L5+N5+P5-O5</f>
        <v>1000614.2199999999</v>
      </c>
      <c r="R5" s="208">
        <f>Q5/F5</f>
        <v>6.2200380221306117</v>
      </c>
      <c r="T5" s="255" t="b">
        <f t="shared" ref="T5:T22" si="0">Q5=L5+N5-O5+P5</f>
        <v>1</v>
      </c>
    </row>
    <row r="6" spans="1:20" x14ac:dyDescent="0.25">
      <c r="A6" s="209">
        <v>2</v>
      </c>
      <c r="B6" s="210" t="s">
        <v>316</v>
      </c>
      <c r="C6" s="210">
        <v>62</v>
      </c>
      <c r="D6" s="203">
        <f t="shared" ref="D6:D25" si="1">C6</f>
        <v>62</v>
      </c>
      <c r="E6" s="211">
        <v>877.78608333333352</v>
      </c>
      <c r="F6" s="211">
        <v>1033409.93</v>
      </c>
      <c r="G6" s="212">
        <f t="shared" ref="G6:G22" si="2">F6/$F$22</f>
        <v>2.7992224277964477E-2</v>
      </c>
      <c r="H6" s="211">
        <v>60</v>
      </c>
      <c r="I6" s="247">
        <v>574164.69999999995</v>
      </c>
      <c r="J6" s="213">
        <v>5.8</v>
      </c>
      <c r="K6" s="247">
        <v>6190527.3799999999</v>
      </c>
      <c r="L6" s="246">
        <f t="shared" ref="L6:L25" si="3">+K6+I6</f>
        <v>6764692.0800000001</v>
      </c>
      <c r="M6" s="214">
        <f t="shared" ref="M6:M27" si="4">L6/F6</f>
        <v>6.5459909795912257</v>
      </c>
      <c r="N6" s="247">
        <v>0</v>
      </c>
      <c r="O6" s="247">
        <v>0</v>
      </c>
      <c r="P6" s="247">
        <v>0</v>
      </c>
      <c r="Q6" s="246">
        <f t="shared" ref="Q6:Q25" si="5">+L6+N6+P6-O6</f>
        <v>6764692.0800000001</v>
      </c>
      <c r="R6" s="215">
        <f t="shared" ref="R6:R27" si="6">Q6/F6</f>
        <v>6.5459909795912257</v>
      </c>
      <c r="T6" s="255" t="b">
        <f t="shared" si="0"/>
        <v>1</v>
      </c>
    </row>
    <row r="7" spans="1:20" x14ac:dyDescent="0.25">
      <c r="A7" s="209">
        <v>3</v>
      </c>
      <c r="B7" s="210" t="s">
        <v>317</v>
      </c>
      <c r="C7" s="210">
        <v>205</v>
      </c>
      <c r="D7" s="203">
        <f t="shared" si="1"/>
        <v>205</v>
      </c>
      <c r="E7" s="211">
        <v>15206.275000000001</v>
      </c>
      <c r="F7" s="211">
        <v>32508112</v>
      </c>
      <c r="G7" s="212">
        <f t="shared" si="2"/>
        <v>0.88055507842583658</v>
      </c>
      <c r="H7" s="211">
        <v>125</v>
      </c>
      <c r="I7" s="247">
        <v>38744839.44166667</v>
      </c>
      <c r="J7" s="213">
        <v>5.8</v>
      </c>
      <c r="K7" s="247">
        <v>200234076.5325</v>
      </c>
      <c r="L7" s="246">
        <f t="shared" si="3"/>
        <v>238978915.97416666</v>
      </c>
      <c r="M7" s="214">
        <f t="shared" si="4"/>
        <v>7.351362514506123</v>
      </c>
      <c r="N7" s="247">
        <v>0</v>
      </c>
      <c r="O7" s="247">
        <v>0</v>
      </c>
      <c r="P7" s="247">
        <v>0</v>
      </c>
      <c r="Q7" s="246">
        <f t="shared" si="5"/>
        <v>238978915.97416666</v>
      </c>
      <c r="R7" s="215">
        <f t="shared" si="6"/>
        <v>7.351362514506123</v>
      </c>
      <c r="T7" s="255" t="b">
        <f t="shared" si="0"/>
        <v>1</v>
      </c>
    </row>
    <row r="8" spans="1:20" x14ac:dyDescent="0.25">
      <c r="A8" s="209">
        <v>4</v>
      </c>
      <c r="B8" s="210" t="s">
        <v>318</v>
      </c>
      <c r="C8" s="210">
        <v>2</v>
      </c>
      <c r="D8" s="203">
        <f t="shared" si="1"/>
        <v>2</v>
      </c>
      <c r="E8" s="211">
        <v>301.79166666666674</v>
      </c>
      <c r="F8" s="211">
        <v>17350</v>
      </c>
      <c r="G8" s="212">
        <f t="shared" si="2"/>
        <v>4.6996363894305103E-4</v>
      </c>
      <c r="H8" s="211">
        <v>50</v>
      </c>
      <c r="I8" s="247">
        <v>26748</v>
      </c>
      <c r="J8" s="213" t="s">
        <v>697</v>
      </c>
      <c r="K8" s="247">
        <v>106016.2</v>
      </c>
      <c r="L8" s="246">
        <f t="shared" si="3"/>
        <v>132764.20000000001</v>
      </c>
      <c r="M8" s="214">
        <f t="shared" si="4"/>
        <v>7.6521152737752169</v>
      </c>
      <c r="N8" s="247">
        <v>0</v>
      </c>
      <c r="O8" s="247">
        <v>0</v>
      </c>
      <c r="P8" s="247">
        <v>0</v>
      </c>
      <c r="Q8" s="246">
        <f t="shared" si="5"/>
        <v>132764.20000000001</v>
      </c>
      <c r="R8" s="215">
        <f t="shared" si="6"/>
        <v>7.6521152737752169</v>
      </c>
      <c r="T8" s="255" t="b">
        <f t="shared" si="0"/>
        <v>1</v>
      </c>
    </row>
    <row r="9" spans="1:20" x14ac:dyDescent="0.25">
      <c r="A9" s="209">
        <v>5</v>
      </c>
      <c r="B9" s="210" t="s">
        <v>319</v>
      </c>
      <c r="C9" s="210">
        <v>9</v>
      </c>
      <c r="D9" s="203">
        <f t="shared" si="1"/>
        <v>9</v>
      </c>
      <c r="E9" s="211">
        <v>165.39416666666671</v>
      </c>
      <c r="F9" s="211">
        <v>117736.41</v>
      </c>
      <c r="G9" s="212">
        <f t="shared" si="2"/>
        <v>3.1891545636709524E-3</v>
      </c>
      <c r="H9" s="211">
        <v>70</v>
      </c>
      <c r="I9" s="247">
        <v>121111.20000000003</v>
      </c>
      <c r="J9" s="213" t="s">
        <v>698</v>
      </c>
      <c r="K9" s="247">
        <v>818047.36999999988</v>
      </c>
      <c r="L9" s="246">
        <f t="shared" si="3"/>
        <v>939158.57</v>
      </c>
      <c r="M9" s="214">
        <f t="shared" si="4"/>
        <v>7.9767895929559929</v>
      </c>
      <c r="N9" s="247">
        <v>0</v>
      </c>
      <c r="O9" s="247">
        <v>0</v>
      </c>
      <c r="P9" s="247">
        <v>0</v>
      </c>
      <c r="Q9" s="246">
        <f t="shared" si="5"/>
        <v>939158.57</v>
      </c>
      <c r="R9" s="215">
        <f t="shared" si="6"/>
        <v>7.9767895929559929</v>
      </c>
      <c r="T9" s="255" t="b">
        <f t="shared" si="0"/>
        <v>1</v>
      </c>
    </row>
    <row r="10" spans="1:20" x14ac:dyDescent="0.25">
      <c r="A10" s="209">
        <v>6</v>
      </c>
      <c r="B10" s="210" t="s">
        <v>320</v>
      </c>
      <c r="C10" s="210">
        <v>31</v>
      </c>
      <c r="D10" s="203">
        <f t="shared" si="1"/>
        <v>31</v>
      </c>
      <c r="E10" s="211">
        <v>271.10750000000002</v>
      </c>
      <c r="F10" s="211">
        <v>287419</v>
      </c>
      <c r="G10" s="212">
        <f t="shared" si="2"/>
        <v>7.7853878467650022E-3</v>
      </c>
      <c r="H10" s="211">
        <v>180</v>
      </c>
      <c r="I10" s="247">
        <v>520001.99999999994</v>
      </c>
      <c r="J10" s="213" t="s">
        <v>699</v>
      </c>
      <c r="K10" s="247">
        <v>2386999</v>
      </c>
      <c r="L10" s="246">
        <f t="shared" si="3"/>
        <v>2907001</v>
      </c>
      <c r="M10" s="214">
        <f t="shared" si="4"/>
        <v>10.114157379992276</v>
      </c>
      <c r="N10" s="247">
        <v>167857.16666666666</v>
      </c>
      <c r="O10" s="247">
        <v>4382665.74</v>
      </c>
      <c r="P10" s="247">
        <v>7377102</v>
      </c>
      <c r="Q10" s="246">
        <f t="shared" si="5"/>
        <v>6069294.4266666658</v>
      </c>
      <c r="R10" s="215">
        <f t="shared" si="6"/>
        <v>21.116538665386305</v>
      </c>
      <c r="T10" s="255" t="b">
        <f t="shared" si="0"/>
        <v>1</v>
      </c>
    </row>
    <row r="11" spans="1:20" x14ac:dyDescent="0.25">
      <c r="A11" s="209">
        <v>7</v>
      </c>
      <c r="B11" s="210" t="s">
        <v>321</v>
      </c>
      <c r="C11" s="210">
        <v>30</v>
      </c>
      <c r="D11" s="203">
        <f t="shared" si="1"/>
        <v>30</v>
      </c>
      <c r="E11" s="211">
        <v>396.28333333333347</v>
      </c>
      <c r="F11" s="211">
        <v>47907.18</v>
      </c>
      <c r="G11" s="212">
        <f t="shared" si="2"/>
        <v>1.2976733512564701E-3</v>
      </c>
      <c r="H11" s="211">
        <v>60</v>
      </c>
      <c r="I11" s="247">
        <v>27588.400000000001</v>
      </c>
      <c r="J11" s="213" t="s">
        <v>700</v>
      </c>
      <c r="K11" s="247">
        <v>378301.07400000002</v>
      </c>
      <c r="L11" s="246">
        <f t="shared" si="3"/>
        <v>405889.47400000005</v>
      </c>
      <c r="M11" s="214">
        <f t="shared" si="4"/>
        <v>8.4724142393687139</v>
      </c>
      <c r="N11" s="247">
        <v>0</v>
      </c>
      <c r="O11" s="247">
        <v>0</v>
      </c>
      <c r="P11" s="247">
        <v>0</v>
      </c>
      <c r="Q11" s="246">
        <f t="shared" si="5"/>
        <v>405889.47400000005</v>
      </c>
      <c r="R11" s="215">
        <f t="shared" si="6"/>
        <v>8.4724142393687139</v>
      </c>
      <c r="T11" s="255" t="b">
        <f t="shared" si="0"/>
        <v>1</v>
      </c>
    </row>
    <row r="12" spans="1:20" x14ac:dyDescent="0.25">
      <c r="A12" s="209">
        <v>8</v>
      </c>
      <c r="B12" s="210" t="s">
        <v>322</v>
      </c>
      <c r="C12" s="210">
        <v>50</v>
      </c>
      <c r="D12" s="203">
        <f t="shared" si="1"/>
        <v>50</v>
      </c>
      <c r="E12" s="211">
        <v>1385.9391666666668</v>
      </c>
      <c r="F12" s="211">
        <v>106374.99999999999</v>
      </c>
      <c r="G12" s="212">
        <f t="shared" si="2"/>
        <v>2.8814053079289363E-3</v>
      </c>
      <c r="H12" s="211">
        <v>60</v>
      </c>
      <c r="I12" s="247">
        <v>83529.36</v>
      </c>
      <c r="J12" s="213" t="s">
        <v>701</v>
      </c>
      <c r="K12" s="247">
        <v>846806.42999999993</v>
      </c>
      <c r="L12" s="246">
        <f t="shared" si="3"/>
        <v>930335.78999999992</v>
      </c>
      <c r="M12" s="214">
        <f t="shared" si="4"/>
        <v>8.7458123619271451</v>
      </c>
      <c r="N12" s="247">
        <v>0</v>
      </c>
      <c r="O12" s="247">
        <v>0</v>
      </c>
      <c r="P12" s="247">
        <v>0</v>
      </c>
      <c r="Q12" s="246">
        <f t="shared" si="5"/>
        <v>930335.78999999992</v>
      </c>
      <c r="R12" s="215">
        <f t="shared" si="6"/>
        <v>8.7458123619271451</v>
      </c>
      <c r="T12" s="255" t="b">
        <f t="shared" si="0"/>
        <v>1</v>
      </c>
    </row>
    <row r="13" spans="1:20" x14ac:dyDescent="0.25">
      <c r="A13" s="209">
        <v>9</v>
      </c>
      <c r="B13" s="210" t="s">
        <v>323</v>
      </c>
      <c r="C13" s="210">
        <v>30</v>
      </c>
      <c r="D13" s="203">
        <f t="shared" si="1"/>
        <v>30</v>
      </c>
      <c r="E13" s="211">
        <v>492.42316666666653</v>
      </c>
      <c r="F13" s="211">
        <v>1110212.68</v>
      </c>
      <c r="G13" s="212">
        <f t="shared" si="2"/>
        <v>3.0072598910289166E-2</v>
      </c>
      <c r="H13" s="211">
        <v>120</v>
      </c>
      <c r="I13" s="247">
        <v>713982.71999999986</v>
      </c>
      <c r="J13" s="213" t="s">
        <v>700</v>
      </c>
      <c r="K13" s="247">
        <v>9968064.1400000006</v>
      </c>
      <c r="L13" s="246">
        <f t="shared" si="3"/>
        <v>10682046.860000001</v>
      </c>
      <c r="M13" s="214">
        <f t="shared" si="4"/>
        <v>9.6216221021723527</v>
      </c>
      <c r="N13" s="247">
        <v>0</v>
      </c>
      <c r="O13" s="247">
        <v>0</v>
      </c>
      <c r="P13" s="247">
        <v>0</v>
      </c>
      <c r="Q13" s="246">
        <f t="shared" si="5"/>
        <v>10682046.860000001</v>
      </c>
      <c r="R13" s="215">
        <f t="shared" si="6"/>
        <v>9.6216221021723527</v>
      </c>
      <c r="T13" s="255" t="b">
        <f t="shared" si="0"/>
        <v>1</v>
      </c>
    </row>
    <row r="14" spans="1:20" x14ac:dyDescent="0.25">
      <c r="A14" s="209">
        <v>10</v>
      </c>
      <c r="B14" s="210" t="s">
        <v>324</v>
      </c>
      <c r="C14" s="210">
        <v>57</v>
      </c>
      <c r="D14" s="203">
        <f t="shared" si="1"/>
        <v>57</v>
      </c>
      <c r="E14" s="211">
        <v>748.83258333333367</v>
      </c>
      <c r="F14" s="211">
        <v>727329.54999999981</v>
      </c>
      <c r="G14" s="212">
        <f t="shared" si="2"/>
        <v>1.9701351125579927E-2</v>
      </c>
      <c r="H14" s="211">
        <v>120</v>
      </c>
      <c r="I14" s="247">
        <v>1036307.5199999999</v>
      </c>
      <c r="J14" s="213" t="s">
        <v>701</v>
      </c>
      <c r="K14" s="247">
        <v>6620373.6189999999</v>
      </c>
      <c r="L14" s="246">
        <f t="shared" si="3"/>
        <v>7656681.1389999995</v>
      </c>
      <c r="M14" s="214">
        <f t="shared" si="4"/>
        <v>10.527114069543856</v>
      </c>
      <c r="N14" s="247">
        <v>0</v>
      </c>
      <c r="O14" s="247">
        <v>0</v>
      </c>
      <c r="P14" s="247">
        <v>0</v>
      </c>
      <c r="Q14" s="246">
        <f t="shared" si="5"/>
        <v>7656681.1389999995</v>
      </c>
      <c r="R14" s="215">
        <f t="shared" si="6"/>
        <v>10.527114069543856</v>
      </c>
      <c r="T14" s="255" t="b">
        <f t="shared" si="0"/>
        <v>1</v>
      </c>
    </row>
    <row r="15" spans="1:20" x14ac:dyDescent="0.25">
      <c r="A15" s="209">
        <v>11</v>
      </c>
      <c r="B15" s="210" t="s">
        <v>325</v>
      </c>
      <c r="C15" s="210">
        <v>12</v>
      </c>
      <c r="D15" s="203">
        <f t="shared" si="1"/>
        <v>12</v>
      </c>
      <c r="E15" s="211">
        <v>96.370833333333337</v>
      </c>
      <c r="F15" s="211">
        <v>10516</v>
      </c>
      <c r="G15" s="212">
        <f t="shared" si="2"/>
        <v>2.8484943095822044E-4</v>
      </c>
      <c r="H15" s="211">
        <v>40</v>
      </c>
      <c r="I15" s="247">
        <v>5184</v>
      </c>
      <c r="J15" s="213" t="s">
        <v>702</v>
      </c>
      <c r="K15" s="247">
        <v>60178.099999999991</v>
      </c>
      <c r="L15" s="246">
        <f t="shared" si="3"/>
        <v>65362.099999999991</v>
      </c>
      <c r="M15" s="214">
        <f t="shared" si="4"/>
        <v>6.2154906808672488</v>
      </c>
      <c r="N15" s="247">
        <v>0</v>
      </c>
      <c r="O15" s="247">
        <v>0</v>
      </c>
      <c r="P15" s="247">
        <v>0</v>
      </c>
      <c r="Q15" s="246">
        <f t="shared" si="5"/>
        <v>65362.099999999991</v>
      </c>
      <c r="R15" s="215">
        <f t="shared" si="6"/>
        <v>6.2154906808672488</v>
      </c>
      <c r="T15" s="255" t="b">
        <f t="shared" si="0"/>
        <v>1</v>
      </c>
    </row>
    <row r="16" spans="1:20" x14ac:dyDescent="0.25">
      <c r="A16" s="209">
        <v>12</v>
      </c>
      <c r="B16" s="210" t="s">
        <v>326</v>
      </c>
      <c r="C16" s="210">
        <v>1</v>
      </c>
      <c r="D16" s="203">
        <f t="shared" si="1"/>
        <v>1</v>
      </c>
      <c r="E16" s="211">
        <v>5.7683333333333335</v>
      </c>
      <c r="F16" s="211">
        <v>833</v>
      </c>
      <c r="G16" s="212">
        <f t="shared" si="2"/>
        <v>2.2563672117553979E-5</v>
      </c>
      <c r="H16" s="256">
        <v>100</v>
      </c>
      <c r="I16" s="247">
        <v>1200</v>
      </c>
      <c r="J16" s="213">
        <v>5.2</v>
      </c>
      <c r="K16" s="247">
        <v>4562.3</v>
      </c>
      <c r="L16" s="246">
        <f t="shared" si="3"/>
        <v>5762.3</v>
      </c>
      <c r="M16" s="214">
        <f t="shared" si="4"/>
        <v>6.9175270108043216</v>
      </c>
      <c r="N16" s="247">
        <v>0</v>
      </c>
      <c r="O16" s="247">
        <v>0</v>
      </c>
      <c r="P16" s="247">
        <v>0</v>
      </c>
      <c r="Q16" s="246">
        <f t="shared" si="5"/>
        <v>5762.3</v>
      </c>
      <c r="R16" s="215">
        <f t="shared" si="6"/>
        <v>6.9175270108043216</v>
      </c>
      <c r="T16" s="255" t="b">
        <f t="shared" si="0"/>
        <v>1</v>
      </c>
    </row>
    <row r="17" spans="1:20" x14ac:dyDescent="0.25">
      <c r="A17" s="209">
        <v>13</v>
      </c>
      <c r="B17" s="210" t="s">
        <v>327</v>
      </c>
      <c r="C17" s="210">
        <v>2</v>
      </c>
      <c r="D17" s="203">
        <f t="shared" si="1"/>
        <v>2</v>
      </c>
      <c r="E17" s="211">
        <v>40.156666666666659</v>
      </c>
      <c r="F17" s="211">
        <v>29600</v>
      </c>
      <c r="G17" s="212">
        <f t="shared" si="2"/>
        <v>8.0178234655413892E-4</v>
      </c>
      <c r="H17" s="211">
        <v>60</v>
      </c>
      <c r="I17" s="247">
        <v>27369.05</v>
      </c>
      <c r="J17" s="213">
        <v>5.2</v>
      </c>
      <c r="K17" s="247">
        <v>162518</v>
      </c>
      <c r="L17" s="246">
        <f t="shared" si="3"/>
        <v>189887.05</v>
      </c>
      <c r="M17" s="214">
        <f t="shared" si="4"/>
        <v>6.41510304054054</v>
      </c>
      <c r="N17" s="247">
        <v>0</v>
      </c>
      <c r="O17" s="247">
        <v>0</v>
      </c>
      <c r="P17" s="247">
        <v>0</v>
      </c>
      <c r="Q17" s="246">
        <f t="shared" si="5"/>
        <v>189887.05</v>
      </c>
      <c r="R17" s="215">
        <f t="shared" si="6"/>
        <v>6.41510304054054</v>
      </c>
      <c r="T17" s="255" t="b">
        <f t="shared" si="0"/>
        <v>1</v>
      </c>
    </row>
    <row r="18" spans="1:20" x14ac:dyDescent="0.25">
      <c r="A18" s="209">
        <v>14</v>
      </c>
      <c r="B18" s="210" t="s">
        <v>328</v>
      </c>
      <c r="C18" s="210">
        <v>1</v>
      </c>
      <c r="D18" s="203">
        <f t="shared" si="1"/>
        <v>1</v>
      </c>
      <c r="E18" s="211">
        <v>89.974166666666676</v>
      </c>
      <c r="F18" s="211">
        <v>214237</v>
      </c>
      <c r="G18" s="212">
        <f t="shared" si="2"/>
        <v>5.8030893438756441E-3</v>
      </c>
      <c r="H18" s="211">
        <v>125</v>
      </c>
      <c r="I18" s="247">
        <v>235139.16666666666</v>
      </c>
      <c r="J18" s="213">
        <v>5.2</v>
      </c>
      <c r="K18" s="247">
        <v>1173833.8</v>
      </c>
      <c r="L18" s="246">
        <f t="shared" si="3"/>
        <v>1408972.9666666668</v>
      </c>
      <c r="M18" s="214">
        <f t="shared" si="4"/>
        <v>6.5767022814297569</v>
      </c>
      <c r="N18" s="247">
        <v>0</v>
      </c>
      <c r="O18" s="247">
        <v>0</v>
      </c>
      <c r="P18" s="247">
        <v>0</v>
      </c>
      <c r="Q18" s="246">
        <f t="shared" si="5"/>
        <v>1408972.9666666668</v>
      </c>
      <c r="R18" s="215">
        <f t="shared" si="6"/>
        <v>6.5767022814297569</v>
      </c>
      <c r="T18" s="255" t="b">
        <f t="shared" si="0"/>
        <v>1</v>
      </c>
    </row>
    <row r="19" spans="1:20" x14ac:dyDescent="0.25">
      <c r="A19" s="209">
        <v>15</v>
      </c>
      <c r="B19" s="210" t="s">
        <v>401</v>
      </c>
      <c r="C19" s="210">
        <v>1</v>
      </c>
      <c r="D19" s="203">
        <f t="shared" si="1"/>
        <v>1</v>
      </c>
      <c r="E19" s="211">
        <v>16.719999999999995</v>
      </c>
      <c r="F19" s="211">
        <v>4100</v>
      </c>
      <c r="G19" s="216">
        <f t="shared" si="2"/>
        <v>1.110576898943233E-4</v>
      </c>
      <c r="H19" s="211">
        <v>180</v>
      </c>
      <c r="I19" s="247">
        <v>30129.120000000006</v>
      </c>
      <c r="J19" s="213">
        <v>5.8</v>
      </c>
      <c r="K19" s="247">
        <v>23250</v>
      </c>
      <c r="L19" s="246">
        <f t="shared" si="3"/>
        <v>53379.12000000001</v>
      </c>
      <c r="M19" s="214">
        <f t="shared" si="4"/>
        <v>13.019297560975613</v>
      </c>
      <c r="N19" s="247">
        <v>0</v>
      </c>
      <c r="O19" s="247">
        <v>0</v>
      </c>
      <c r="P19" s="247">
        <v>0</v>
      </c>
      <c r="Q19" s="246">
        <f t="shared" si="5"/>
        <v>53379.12000000001</v>
      </c>
      <c r="R19" s="215">
        <f t="shared" si="6"/>
        <v>13.019297560975613</v>
      </c>
      <c r="T19" s="255" t="b">
        <f t="shared" si="0"/>
        <v>1</v>
      </c>
    </row>
    <row r="20" spans="1:20" x14ac:dyDescent="0.25">
      <c r="A20" s="209">
        <v>16</v>
      </c>
      <c r="B20" s="210" t="s">
        <v>301</v>
      </c>
      <c r="C20" s="210">
        <v>1</v>
      </c>
      <c r="D20" s="203">
        <f t="shared" si="1"/>
        <v>1</v>
      </c>
      <c r="E20" s="211">
        <v>200</v>
      </c>
      <c r="F20" s="211">
        <v>282949.5</v>
      </c>
      <c r="G20" s="212">
        <f t="shared" si="2"/>
        <v>7.664321421159471E-3</v>
      </c>
      <c r="H20" s="211">
        <v>30</v>
      </c>
      <c r="I20" s="247">
        <v>720000</v>
      </c>
      <c r="J20" s="213">
        <v>6</v>
      </c>
      <c r="K20" s="247">
        <v>1692061</v>
      </c>
      <c r="L20" s="246">
        <f t="shared" si="3"/>
        <v>2412061</v>
      </c>
      <c r="M20" s="214">
        <f t="shared" si="4"/>
        <v>8.5247049385137625</v>
      </c>
      <c r="N20" s="247">
        <v>0</v>
      </c>
      <c r="O20" s="247">
        <v>0</v>
      </c>
      <c r="P20" s="247">
        <v>0</v>
      </c>
      <c r="Q20" s="246">
        <f t="shared" si="5"/>
        <v>2412061</v>
      </c>
      <c r="R20" s="215">
        <f t="shared" si="6"/>
        <v>8.5247049385137625</v>
      </c>
      <c r="T20" s="255" t="b">
        <f t="shared" si="0"/>
        <v>1</v>
      </c>
    </row>
    <row r="21" spans="1:20" ht="16.5" thickBot="1" x14ac:dyDescent="0.3">
      <c r="A21" s="217">
        <v>17</v>
      </c>
      <c r="B21" s="218" t="s">
        <v>65</v>
      </c>
      <c r="C21" s="218">
        <v>14</v>
      </c>
      <c r="D21" s="203">
        <f t="shared" si="1"/>
        <v>14</v>
      </c>
      <c r="E21" s="219">
        <v>74.757555555555555</v>
      </c>
      <c r="F21" s="219">
        <v>258793</v>
      </c>
      <c r="G21" s="220">
        <f t="shared" si="2"/>
        <v>7.0099884733711244E-3</v>
      </c>
      <c r="H21" s="219">
        <v>125</v>
      </c>
      <c r="I21" s="248">
        <v>6030</v>
      </c>
      <c r="J21" s="221">
        <v>3.6</v>
      </c>
      <c r="K21" s="248">
        <v>1044737.3</v>
      </c>
      <c r="L21" s="246">
        <f t="shared" si="3"/>
        <v>1050767.3</v>
      </c>
      <c r="M21" s="222">
        <f t="shared" si="4"/>
        <v>4.0602616763204571</v>
      </c>
      <c r="N21" s="248">
        <v>0</v>
      </c>
      <c r="O21" s="248">
        <v>0</v>
      </c>
      <c r="P21" s="248">
        <v>0</v>
      </c>
      <c r="Q21" s="246">
        <f t="shared" si="5"/>
        <v>1050767.3</v>
      </c>
      <c r="R21" s="223">
        <f t="shared" si="6"/>
        <v>4.0602616763204571</v>
      </c>
      <c r="T21" s="255" t="b">
        <f t="shared" si="0"/>
        <v>1</v>
      </c>
    </row>
    <row r="22" spans="1:20" ht="16.5" thickBot="1" x14ac:dyDescent="0.3">
      <c r="A22" s="224">
        <v>18</v>
      </c>
      <c r="B22" s="225" t="s">
        <v>450</v>
      </c>
      <c r="C22" s="225">
        <f>SUM(C5:C21)</f>
        <v>545</v>
      </c>
      <c r="D22" s="225">
        <f>SUM(D5:D21)</f>
        <v>545</v>
      </c>
      <c r="E22" s="225">
        <f>SUM(E5:E21)</f>
        <v>20591.401722222225</v>
      </c>
      <c r="F22" s="228">
        <f>SUM(F5:F21)</f>
        <v>36917749.719999991</v>
      </c>
      <c r="G22" s="226">
        <f t="shared" si="2"/>
        <v>1</v>
      </c>
      <c r="H22" s="227"/>
      <c r="I22" s="249">
        <f>SUM(I5:I21)</f>
        <v>42910324.678333335</v>
      </c>
      <c r="J22" s="228"/>
      <c r="K22" s="249">
        <f>SUM(K5:K21)</f>
        <v>232673966.4655</v>
      </c>
      <c r="L22" s="249">
        <f>SUM(L5:L21)</f>
        <v>275584291.1438334</v>
      </c>
      <c r="M22" s="229">
        <f t="shared" si="4"/>
        <v>7.4648182306338429</v>
      </c>
      <c r="N22" s="249">
        <f>SUM(N5:N21)</f>
        <v>167857.16666666666</v>
      </c>
      <c r="O22" s="249">
        <f>SUM(O5:O21)</f>
        <v>4382665.74</v>
      </c>
      <c r="P22" s="249">
        <f>SUM(P5:P21)</f>
        <v>7377102</v>
      </c>
      <c r="Q22" s="249">
        <f>SUM(Q5:Q21)</f>
        <v>278746584.57050008</v>
      </c>
      <c r="R22" s="230">
        <f t="shared" si="6"/>
        <v>7.5504760361786252</v>
      </c>
      <c r="T22" s="255" t="b">
        <f t="shared" si="0"/>
        <v>1</v>
      </c>
    </row>
    <row r="23" spans="1:20" x14ac:dyDescent="0.25">
      <c r="A23" s="202">
        <v>19</v>
      </c>
      <c r="B23" s="203" t="s">
        <v>496</v>
      </c>
      <c r="C23" s="203">
        <v>14</v>
      </c>
      <c r="D23" s="203">
        <f t="shared" si="1"/>
        <v>14</v>
      </c>
      <c r="E23" s="204">
        <v>6862.2216666666673</v>
      </c>
      <c r="F23" s="204">
        <v>22648672.52</v>
      </c>
      <c r="G23" s="205">
        <f>F23/$F$26</f>
        <v>0.95414321167956329</v>
      </c>
      <c r="H23" s="204">
        <v>300</v>
      </c>
      <c r="I23" s="246">
        <v>28388171.5</v>
      </c>
      <c r="J23" s="206">
        <v>5.8</v>
      </c>
      <c r="K23" s="246">
        <v>133936625.90200001</v>
      </c>
      <c r="L23" s="246">
        <f t="shared" si="3"/>
        <v>162324797.40200001</v>
      </c>
      <c r="M23" s="207">
        <f t="shared" si="4"/>
        <v>7.1670777728212753</v>
      </c>
      <c r="N23" s="246">
        <v>1105740</v>
      </c>
      <c r="O23" s="246">
        <v>4757178.6700000009</v>
      </c>
      <c r="P23" s="246">
        <v>377</v>
      </c>
      <c r="Q23" s="246">
        <f t="shared" si="5"/>
        <v>158673735.73200002</v>
      </c>
      <c r="R23" s="208">
        <f t="shared" si="6"/>
        <v>7.0058735491840665</v>
      </c>
      <c r="T23" s="255" t="b">
        <f>Q23=L23+N23-O23+P23</f>
        <v>1</v>
      </c>
    </row>
    <row r="24" spans="1:20" x14ac:dyDescent="0.25">
      <c r="A24" s="209">
        <v>20</v>
      </c>
      <c r="B24" s="210" t="s">
        <v>495</v>
      </c>
      <c r="C24" s="210">
        <v>1</v>
      </c>
      <c r="D24" s="203">
        <f t="shared" si="1"/>
        <v>1</v>
      </c>
      <c r="E24" s="211">
        <v>109.76249999999999</v>
      </c>
      <c r="F24" s="211">
        <v>415014</v>
      </c>
      <c r="G24" s="212">
        <f>F24/$F$26</f>
        <v>1.7483708614812108E-2</v>
      </c>
      <c r="H24" s="211">
        <v>350</v>
      </c>
      <c r="I24" s="247">
        <v>461002.5</v>
      </c>
      <c r="J24" s="213">
        <v>5.4</v>
      </c>
      <c r="K24" s="247">
        <v>2256638.4</v>
      </c>
      <c r="L24" s="246">
        <f t="shared" si="3"/>
        <v>2717640.9</v>
      </c>
      <c r="M24" s="214">
        <f t="shared" si="4"/>
        <v>6.5483113822666219</v>
      </c>
      <c r="N24" s="247">
        <v>0</v>
      </c>
      <c r="O24" s="247">
        <v>73502.880000000005</v>
      </c>
      <c r="P24" s="247">
        <v>548</v>
      </c>
      <c r="Q24" s="246">
        <f t="shared" si="5"/>
        <v>2644686.02</v>
      </c>
      <c r="R24" s="215">
        <f t="shared" si="6"/>
        <v>6.3725224209303786</v>
      </c>
      <c r="T24" s="255" t="b">
        <f>Q24=L24+N24-O24+P24</f>
        <v>1</v>
      </c>
    </row>
    <row r="25" spans="1:20" ht="16.5" thickBot="1" x14ac:dyDescent="0.3">
      <c r="A25" s="217">
        <v>21</v>
      </c>
      <c r="B25" s="218" t="s">
        <v>66</v>
      </c>
      <c r="C25" s="218">
        <v>1</v>
      </c>
      <c r="D25" s="203">
        <f t="shared" si="1"/>
        <v>1</v>
      </c>
      <c r="E25" s="219">
        <v>142.85</v>
      </c>
      <c r="F25" s="219">
        <v>673497</v>
      </c>
      <c r="G25" s="220">
        <f>F25/$F$26</f>
        <v>2.8373079705624655E-2</v>
      </c>
      <c r="H25" s="219">
        <v>400</v>
      </c>
      <c r="I25" s="248">
        <v>721860</v>
      </c>
      <c r="J25" s="221">
        <v>7.3</v>
      </c>
      <c r="K25" s="248">
        <v>4996178.4000000004</v>
      </c>
      <c r="L25" s="246">
        <f t="shared" si="3"/>
        <v>5718038.4000000004</v>
      </c>
      <c r="M25" s="222">
        <f t="shared" si="4"/>
        <v>8.4900725615704307</v>
      </c>
      <c r="N25" s="248">
        <v>0</v>
      </c>
      <c r="O25" s="248">
        <v>242931.64</v>
      </c>
      <c r="P25" s="248">
        <v>0</v>
      </c>
      <c r="Q25" s="246">
        <f t="shared" si="5"/>
        <v>5475106.7600000007</v>
      </c>
      <c r="R25" s="223">
        <f t="shared" si="6"/>
        <v>8.1293706727721151</v>
      </c>
      <c r="T25" s="255" t="b">
        <f>Q25=L25+N25-O25+P25</f>
        <v>1</v>
      </c>
    </row>
    <row r="26" spans="1:20" x14ac:dyDescent="0.25">
      <c r="A26" s="231">
        <v>22</v>
      </c>
      <c r="B26" s="232" t="s">
        <v>451</v>
      </c>
      <c r="C26" s="232">
        <f>SUM(C23:C25)</f>
        <v>16</v>
      </c>
      <c r="D26" s="232">
        <f>SUM(D23:D25)</f>
        <v>16</v>
      </c>
      <c r="E26" s="232">
        <f>SUM(E23:E25)</f>
        <v>7114.8341666666674</v>
      </c>
      <c r="F26" s="232">
        <f>SUM(F23:F25)</f>
        <v>23737183.52</v>
      </c>
      <c r="G26" s="234">
        <f>F26/$F$26</f>
        <v>1</v>
      </c>
      <c r="H26" s="233"/>
      <c r="I26" s="250">
        <f>SUM(I23:I25)</f>
        <v>29571034</v>
      </c>
      <c r="J26" s="233"/>
      <c r="K26" s="250">
        <f>SUM(K23:K25)</f>
        <v>141189442.70200002</v>
      </c>
      <c r="L26" s="250">
        <f>SUM(L23:L25)</f>
        <v>170760476.70200002</v>
      </c>
      <c r="M26" s="235">
        <f t="shared" si="4"/>
        <v>7.1937968781394845</v>
      </c>
      <c r="N26" s="250">
        <f>SUM(N23:N25)</f>
        <v>1105740</v>
      </c>
      <c r="O26" s="250">
        <f>SUM(O23:O25)</f>
        <v>5073613.1900000004</v>
      </c>
      <c r="P26" s="250">
        <f>SUM(P23:P25)</f>
        <v>925</v>
      </c>
      <c r="Q26" s="250">
        <f>SUM(Q23:Q25)</f>
        <v>166793528.51200002</v>
      </c>
      <c r="R26" s="236">
        <f t="shared" si="6"/>
        <v>7.0266772960434203</v>
      </c>
      <c r="T26" s="255" t="b">
        <f>Q26=L26+N26-O26+P26</f>
        <v>1</v>
      </c>
    </row>
    <row r="27" spans="1:20" ht="16.5" thickBot="1" x14ac:dyDescent="0.3">
      <c r="A27" s="237">
        <v>23</v>
      </c>
      <c r="B27" s="238" t="s">
        <v>358</v>
      </c>
      <c r="C27" s="238">
        <f>C22+C26</f>
        <v>561</v>
      </c>
      <c r="D27" s="238">
        <f>D22+D26</f>
        <v>561</v>
      </c>
      <c r="E27" s="238">
        <f>E22+E26</f>
        <v>27706.235888888892</v>
      </c>
      <c r="F27" s="238">
        <f>F22+F26</f>
        <v>60654933.239999995</v>
      </c>
      <c r="G27" s="238"/>
      <c r="H27" s="238"/>
      <c r="I27" s="251">
        <f>I22+I26</f>
        <v>72481358.678333342</v>
      </c>
      <c r="J27" s="238"/>
      <c r="K27" s="251">
        <f>K22+K26</f>
        <v>373863409.16750002</v>
      </c>
      <c r="L27" s="251">
        <f>L22+L26</f>
        <v>446344767.84583342</v>
      </c>
      <c r="M27" s="238">
        <f t="shared" si="4"/>
        <v>7.3587545810945398</v>
      </c>
      <c r="N27" s="251">
        <f>N22+N26</f>
        <v>1273597.1666666667</v>
      </c>
      <c r="O27" s="251">
        <f>O22+O26</f>
        <v>9456278.9299999997</v>
      </c>
      <c r="P27" s="251">
        <f>P22+P26</f>
        <v>7378027</v>
      </c>
      <c r="Q27" s="251">
        <f>Q22+Q26</f>
        <v>445540113.0825001</v>
      </c>
      <c r="R27" s="239">
        <f t="shared" si="6"/>
        <v>7.3454884752668494</v>
      </c>
    </row>
    <row r="28" spans="1:20" x14ac:dyDescent="0.25">
      <c r="A28" s="202">
        <v>24</v>
      </c>
      <c r="B28" s="203" t="s">
        <v>25</v>
      </c>
      <c r="C28" s="203"/>
      <c r="D28" s="203"/>
      <c r="E28" s="204"/>
      <c r="F28" s="204"/>
      <c r="G28" s="204"/>
      <c r="H28" s="204"/>
      <c r="I28" s="204"/>
      <c r="J28" s="204"/>
      <c r="K28" s="204"/>
      <c r="L28" s="204"/>
      <c r="M28" s="207"/>
      <c r="N28" s="246"/>
      <c r="O28" s="246"/>
      <c r="P28" s="246"/>
      <c r="Q28" s="246">
        <v>26166559.682649992</v>
      </c>
      <c r="R28" s="208"/>
    </row>
    <row r="29" spans="1:20" x14ac:dyDescent="0.25">
      <c r="A29" s="209">
        <v>25</v>
      </c>
      <c r="B29" s="210" t="s">
        <v>26</v>
      </c>
      <c r="C29" s="210"/>
      <c r="D29" s="210"/>
      <c r="E29" s="211"/>
      <c r="F29" s="211"/>
      <c r="G29" s="211"/>
      <c r="H29" s="211"/>
      <c r="I29" s="211"/>
      <c r="J29" s="211"/>
      <c r="K29" s="211"/>
      <c r="L29" s="211"/>
      <c r="M29" s="211"/>
      <c r="N29" s="247"/>
      <c r="O29" s="247"/>
      <c r="P29" s="247"/>
      <c r="Q29" s="247">
        <f>Q27+Q28</f>
        <v>471706672.76515007</v>
      </c>
      <c r="R29" s="215"/>
    </row>
    <row r="30" spans="1:20" ht="16.5" thickBot="1" x14ac:dyDescent="0.3">
      <c r="A30" s="217">
        <v>26</v>
      </c>
      <c r="B30" s="218" t="s">
        <v>498</v>
      </c>
      <c r="C30" s="218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48"/>
      <c r="O30" s="248"/>
      <c r="P30" s="248"/>
      <c r="Q30" s="248">
        <f>Q28+(+[1]Surcharge!$G$30+'[1]Sec 5 A'!$G$50+[1]Sec4!$M$22)</f>
        <v>26432617.311153494</v>
      </c>
      <c r="R30" s="223"/>
    </row>
    <row r="31" spans="1:20" ht="16.5" thickBot="1" x14ac:dyDescent="0.3">
      <c r="A31" s="224">
        <v>27</v>
      </c>
      <c r="B31" s="225" t="s">
        <v>489</v>
      </c>
      <c r="C31" s="225"/>
      <c r="D31" s="225"/>
      <c r="E31" s="228"/>
      <c r="F31" s="228"/>
      <c r="G31" s="228"/>
      <c r="H31" s="228"/>
      <c r="I31" s="228"/>
      <c r="J31" s="228"/>
      <c r="K31" s="228"/>
      <c r="L31" s="228"/>
      <c r="M31" s="228"/>
      <c r="N31" s="249"/>
      <c r="O31" s="249"/>
      <c r="P31" s="249"/>
      <c r="Q31" s="249">
        <f>Q29-Q30</f>
        <v>445274055.4539966</v>
      </c>
      <c r="R31" s="230"/>
    </row>
    <row r="33" spans="1:17" ht="16.5" hidden="1" thickBot="1" x14ac:dyDescent="0.3">
      <c r="P33" s="257" t="s">
        <v>497</v>
      </c>
      <c r="Q33" s="258">
        <f>Q31/10^5</f>
        <v>4452.7405545399661</v>
      </c>
    </row>
    <row r="34" spans="1:17" x14ac:dyDescent="0.25">
      <c r="P34" s="967"/>
      <c r="Q34" s="968"/>
    </row>
    <row r="35" spans="1:17" x14ac:dyDescent="0.25">
      <c r="P35" s="967"/>
      <c r="Q35" s="968"/>
    </row>
    <row r="36" spans="1:17" x14ac:dyDescent="0.25">
      <c r="L36" s="259"/>
    </row>
    <row r="37" spans="1:17" ht="16.5" x14ac:dyDescent="0.3">
      <c r="A37" s="950" t="s">
        <v>723</v>
      </c>
      <c r="B37" s="951"/>
      <c r="C37" s="951"/>
      <c r="D37" s="952"/>
      <c r="E37" s="952"/>
      <c r="F37" s="25"/>
      <c r="G37" s="25"/>
      <c r="H37" s="25"/>
      <c r="I37" s="25"/>
      <c r="J37" s="25"/>
      <c r="K37" s="25"/>
      <c r="L37" s="953" t="s">
        <v>724</v>
      </c>
    </row>
    <row r="38" spans="1:17" ht="16.5" x14ac:dyDescent="0.3">
      <c r="A38" s="950" t="s">
        <v>725</v>
      </c>
      <c r="B38" s="951"/>
      <c r="C38" s="951"/>
      <c r="D38" s="952"/>
      <c r="E38" s="952"/>
      <c r="F38" s="25"/>
      <c r="G38" s="25"/>
      <c r="H38" s="25"/>
      <c r="I38" s="25"/>
      <c r="J38" s="25"/>
      <c r="K38" s="25"/>
      <c r="L38" s="954" t="s">
        <v>726</v>
      </c>
    </row>
    <row r="39" spans="1:17" x14ac:dyDescent="0.25">
      <c r="A39" s="952"/>
      <c r="B39" s="952"/>
      <c r="C39" s="952"/>
      <c r="D39" s="952"/>
      <c r="E39" s="955"/>
      <c r="F39" s="25"/>
      <c r="G39" s="25"/>
      <c r="H39" s="25"/>
      <c r="I39" s="25"/>
      <c r="J39" s="25"/>
      <c r="K39" s="25"/>
      <c r="L39" s="952"/>
    </row>
    <row r="40" spans="1:17" x14ac:dyDescent="0.25">
      <c r="A40" s="952"/>
      <c r="B40" s="952"/>
      <c r="C40" s="952"/>
      <c r="D40" s="952"/>
      <c r="E40" s="955"/>
      <c r="F40" s="25"/>
      <c r="G40" s="25"/>
      <c r="H40" s="25"/>
      <c r="I40" s="25"/>
      <c r="J40" s="25"/>
      <c r="K40" s="25"/>
      <c r="L40" s="952"/>
    </row>
    <row r="41" spans="1:17" x14ac:dyDescent="0.25">
      <c r="A41" s="952"/>
      <c r="B41" s="952"/>
      <c r="C41" s="952"/>
      <c r="D41" s="952"/>
      <c r="E41" s="955"/>
      <c r="F41" s="25"/>
      <c r="G41" s="25"/>
      <c r="H41" s="25"/>
      <c r="I41" s="25"/>
      <c r="J41" s="25"/>
      <c r="K41" s="25"/>
      <c r="L41" s="952"/>
    </row>
    <row r="42" spans="1:17" x14ac:dyDescent="0.25">
      <c r="A42" s="952"/>
      <c r="B42" s="952"/>
      <c r="C42" s="952"/>
      <c r="D42" s="952"/>
      <c r="E42" s="952"/>
      <c r="F42" s="25"/>
      <c r="G42" s="25"/>
      <c r="H42" s="25"/>
      <c r="I42" s="25"/>
      <c r="J42" s="25"/>
      <c r="K42" s="25"/>
      <c r="L42" s="952"/>
    </row>
    <row r="43" spans="1:17" ht="16.5" x14ac:dyDescent="0.3">
      <c r="A43" s="963" t="s">
        <v>731</v>
      </c>
      <c r="B43" s="956"/>
      <c r="C43" s="957"/>
      <c r="D43" s="952"/>
      <c r="E43" s="952"/>
      <c r="F43" s="25"/>
      <c r="G43" s="25"/>
      <c r="H43" s="25"/>
      <c r="I43" s="25"/>
      <c r="J43" s="25"/>
      <c r="K43" s="25"/>
      <c r="L43" s="958" t="s">
        <v>728</v>
      </c>
    </row>
    <row r="44" spans="1:17" ht="16.5" x14ac:dyDescent="0.3">
      <c r="A44" s="963" t="s">
        <v>732</v>
      </c>
      <c r="B44" s="959"/>
      <c r="C44" s="957"/>
      <c r="D44" s="952"/>
      <c r="E44" s="960"/>
      <c r="F44" s="25"/>
      <c r="G44" s="25"/>
      <c r="H44" s="25"/>
      <c r="I44" s="25"/>
      <c r="J44" s="25"/>
      <c r="K44" s="25"/>
      <c r="L44" s="958" t="s">
        <v>730</v>
      </c>
    </row>
    <row r="45" spans="1:17" x14ac:dyDescent="0.25">
      <c r="A45" s="961"/>
      <c r="B45" s="961"/>
      <c r="C45" s="961"/>
      <c r="D45" s="961"/>
      <c r="E45" s="952"/>
      <c r="F45" s="952"/>
      <c r="G45" s="25"/>
      <c r="H45" s="25"/>
      <c r="I45" s="25"/>
      <c r="J45" s="25"/>
      <c r="K45" s="25"/>
      <c r="L45" s="25"/>
    </row>
    <row r="46" spans="1:17" x14ac:dyDescent="0.25">
      <c r="A46" s="961"/>
      <c r="B46" s="961"/>
      <c r="C46" s="961"/>
      <c r="D46" s="952"/>
      <c r="E46" s="958"/>
      <c r="F46" s="952"/>
      <c r="G46" s="25"/>
      <c r="H46" s="25"/>
      <c r="I46" s="25"/>
      <c r="J46" s="25"/>
      <c r="K46" s="25"/>
      <c r="L46" s="25"/>
    </row>
    <row r="47" spans="1:17" ht="16.5" x14ac:dyDescent="0.3">
      <c r="A47" s="952"/>
      <c r="B47" s="961"/>
      <c r="C47" s="961"/>
      <c r="D47" s="952"/>
      <c r="E47" s="962"/>
      <c r="F47" s="952"/>
      <c r="G47" s="25"/>
      <c r="H47" s="25"/>
      <c r="I47" s="25"/>
      <c r="J47" s="25"/>
      <c r="K47" s="25"/>
      <c r="L47" s="25"/>
    </row>
    <row r="48" spans="1:17" ht="16.5" x14ac:dyDescent="0.3">
      <c r="B48" s="961"/>
      <c r="C48" s="961"/>
      <c r="D48" s="14"/>
      <c r="E48" s="962"/>
      <c r="F48" s="952"/>
      <c r="G48" s="25"/>
      <c r="H48" s="25"/>
      <c r="I48" s="25"/>
      <c r="J48" s="25"/>
      <c r="K48" s="25"/>
      <c r="L48" s="25"/>
    </row>
    <row r="49" spans="2:12" x14ac:dyDescent="0.25">
      <c r="B49" s="964"/>
      <c r="C49" s="964"/>
      <c r="D49" s="964"/>
      <c r="E49" s="965"/>
      <c r="F49" s="952"/>
      <c r="G49" s="25"/>
      <c r="H49" s="25"/>
      <c r="I49" s="25"/>
      <c r="J49" s="25"/>
      <c r="K49" s="25"/>
      <c r="L49" s="25"/>
    </row>
  </sheetData>
  <mergeCells count="2">
    <mergeCell ref="A1:R1"/>
    <mergeCell ref="A2:R2"/>
  </mergeCells>
  <printOptions horizontalCentered="1" verticalCentered="1"/>
  <pageMargins left="0.25" right="0.25" top="0.75" bottom="0.75" header="0.3" footer="0.3"/>
  <pageSetup paperSize="9" scale="54" fitToHeight="0" orientation="landscape" r:id="rId1"/>
  <ignoredErrors>
    <ignoredError sqref="C22:E22 K22:L22 I22" formulaRange="1"/>
    <ignoredError sqref="M23" evalError="1"/>
    <ignoredError sqref="M22:Q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  <pageSetUpPr fitToPage="1"/>
  </sheetPr>
  <dimension ref="A1:T49"/>
  <sheetViews>
    <sheetView topLeftCell="A16" zoomScale="70" zoomScaleNormal="70" workbookViewId="0">
      <selection sqref="A1:R44"/>
    </sheetView>
  </sheetViews>
  <sheetFormatPr defaultRowHeight="14.25" x14ac:dyDescent="0.2"/>
  <cols>
    <col min="1" max="1" width="9.140625" style="25"/>
    <col min="2" max="2" width="57.42578125" style="25" bestFit="1" customWidth="1"/>
    <col min="3" max="3" width="5" style="25" bestFit="1" customWidth="1"/>
    <col min="4" max="4" width="7.28515625" style="25" bestFit="1" customWidth="1"/>
    <col min="5" max="5" width="10.7109375" style="25" customWidth="1"/>
    <col min="6" max="6" width="14.85546875" style="25" bestFit="1" customWidth="1"/>
    <col min="7" max="7" width="10" style="25" bestFit="1" customWidth="1"/>
    <col min="8" max="8" width="8.85546875" style="25" bestFit="1" customWidth="1"/>
    <col min="9" max="9" width="14.5703125" style="25" bestFit="1" customWidth="1"/>
    <col min="10" max="10" width="11.42578125" style="25" bestFit="1" customWidth="1"/>
    <col min="11" max="12" width="15.85546875" style="25" bestFit="1" customWidth="1"/>
    <col min="13" max="13" width="14.85546875" style="25" bestFit="1" customWidth="1"/>
    <col min="14" max="14" width="6.28515625" style="25" bestFit="1" customWidth="1"/>
    <col min="15" max="15" width="12.85546875" style="25" bestFit="1" customWidth="1"/>
    <col min="16" max="16" width="12.5703125" style="25" bestFit="1" customWidth="1"/>
    <col min="17" max="17" width="15.85546875" style="25" bestFit="1" customWidth="1"/>
    <col min="18" max="18" width="5.42578125" style="25" bestFit="1" customWidth="1"/>
    <col min="19" max="16384" width="9.140625" style="25"/>
  </cols>
  <sheetData>
    <row r="1" spans="1:20" ht="17.25" thickBot="1" x14ac:dyDescent="0.35">
      <c r="A1" s="994" t="s">
        <v>507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995"/>
      <c r="R1" s="996"/>
    </row>
    <row r="2" spans="1:20" ht="16.5" thickBot="1" x14ac:dyDescent="0.3">
      <c r="A2" s="997" t="s">
        <v>303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9"/>
    </row>
    <row r="3" spans="1:20" ht="147" x14ac:dyDescent="0.2">
      <c r="A3" s="194" t="s">
        <v>445</v>
      </c>
      <c r="B3" s="195" t="s">
        <v>1</v>
      </c>
      <c r="C3" s="196" t="s">
        <v>19</v>
      </c>
      <c r="D3" s="196" t="s">
        <v>20</v>
      </c>
      <c r="E3" s="197" t="s">
        <v>446</v>
      </c>
      <c r="F3" s="197" t="s">
        <v>295</v>
      </c>
      <c r="G3" s="197" t="s">
        <v>21</v>
      </c>
      <c r="H3" s="197" t="s">
        <v>505</v>
      </c>
      <c r="I3" s="197" t="s">
        <v>308</v>
      </c>
      <c r="J3" s="197" t="s">
        <v>506</v>
      </c>
      <c r="K3" s="197" t="s">
        <v>309</v>
      </c>
      <c r="L3" s="197" t="s">
        <v>67</v>
      </c>
      <c r="M3" s="197" t="s">
        <v>23</v>
      </c>
      <c r="N3" s="197" t="s">
        <v>447</v>
      </c>
      <c r="O3" s="197" t="s">
        <v>304</v>
      </c>
      <c r="P3" s="197" t="s">
        <v>305</v>
      </c>
      <c r="Q3" s="197" t="s">
        <v>448</v>
      </c>
      <c r="R3" s="198" t="s">
        <v>449</v>
      </c>
      <c r="T3" s="47" t="s">
        <v>488</v>
      </c>
    </row>
    <row r="4" spans="1:20" ht="16.5" thickBot="1" x14ac:dyDescent="0.3">
      <c r="A4" s="199">
        <v>1</v>
      </c>
      <c r="B4" s="200">
        <v>2</v>
      </c>
      <c r="C4" s="200">
        <v>3</v>
      </c>
      <c r="D4" s="200">
        <v>4</v>
      </c>
      <c r="E4" s="200">
        <v>5</v>
      </c>
      <c r="F4" s="200">
        <v>6</v>
      </c>
      <c r="G4" s="200">
        <v>7</v>
      </c>
      <c r="H4" s="200">
        <v>8</v>
      </c>
      <c r="I4" s="200">
        <v>9</v>
      </c>
      <c r="J4" s="200">
        <v>10</v>
      </c>
      <c r="K4" s="200">
        <v>11</v>
      </c>
      <c r="L4" s="200">
        <v>12</v>
      </c>
      <c r="M4" s="200">
        <v>13</v>
      </c>
      <c r="N4" s="200">
        <v>14</v>
      </c>
      <c r="O4" s="200">
        <v>15</v>
      </c>
      <c r="P4" s="200">
        <v>16</v>
      </c>
      <c r="Q4" s="200">
        <v>17</v>
      </c>
      <c r="R4" s="201">
        <v>18</v>
      </c>
      <c r="T4" s="28"/>
    </row>
    <row r="5" spans="1:20" ht="15.75" x14ac:dyDescent="0.25">
      <c r="A5" s="202">
        <v>1</v>
      </c>
      <c r="B5" s="203" t="s">
        <v>315</v>
      </c>
      <c r="C5" s="203">
        <v>112</v>
      </c>
      <c r="D5" s="203">
        <f>+C5</f>
        <v>112</v>
      </c>
      <c r="E5" s="204">
        <v>8901.8773000000001</v>
      </c>
      <c r="F5" s="204">
        <f>962283.32532+1007</f>
        <v>963290.32531999995</v>
      </c>
      <c r="G5" s="205">
        <f>F5/$F$22</f>
        <v>0.11101104295244013</v>
      </c>
      <c r="H5" s="204">
        <v>100</v>
      </c>
      <c r="I5" s="246">
        <v>215202.46000000002</v>
      </c>
      <c r="J5" s="206">
        <v>5.5</v>
      </c>
      <c r="K5" s="246">
        <v>5764376.1499999994</v>
      </c>
      <c r="L5" s="246">
        <f>+K5+I5</f>
        <v>5979578.6099999994</v>
      </c>
      <c r="M5" s="207">
        <f>L5/F5</f>
        <v>6.2074521593618366</v>
      </c>
      <c r="N5" s="246">
        <v>0</v>
      </c>
      <c r="O5" s="246">
        <v>0</v>
      </c>
      <c r="P5" s="246">
        <v>0</v>
      </c>
      <c r="Q5" s="246">
        <f>+L5+N5+P5-O5</f>
        <v>5979578.6099999994</v>
      </c>
      <c r="R5" s="266">
        <f>Q5/F5</f>
        <v>6.2074521593618366</v>
      </c>
      <c r="T5" s="51" t="b">
        <f t="shared" ref="T5:T22" si="0">Q5=L5+N5-O5+P5</f>
        <v>1</v>
      </c>
    </row>
    <row r="6" spans="1:20" ht="15.75" x14ac:dyDescent="0.25">
      <c r="A6" s="209">
        <v>2</v>
      </c>
      <c r="B6" s="210" t="s">
        <v>316</v>
      </c>
      <c r="C6" s="210">
        <v>26</v>
      </c>
      <c r="D6" s="203">
        <f t="shared" ref="D6:D21" si="1">+C6</f>
        <v>26</v>
      </c>
      <c r="E6" s="211">
        <v>2756.2046</v>
      </c>
      <c r="F6" s="211">
        <v>233899.40464000002</v>
      </c>
      <c r="G6" s="212">
        <f t="shared" ref="G6:G22" si="2">F6/$F$22</f>
        <v>2.6954923321186312E-2</v>
      </c>
      <c r="H6" s="211">
        <v>75</v>
      </c>
      <c r="I6" s="247">
        <v>117740.92000000001</v>
      </c>
      <c r="J6" s="213">
        <v>5.5</v>
      </c>
      <c r="K6" s="247">
        <v>1401108.3</v>
      </c>
      <c r="L6" s="246">
        <f t="shared" ref="L6:L21" si="3">+K6+I6</f>
        <v>1518849.22</v>
      </c>
      <c r="M6" s="214">
        <f t="shared" ref="M6:M27" si="4">L6/F6</f>
        <v>6.493600196792702</v>
      </c>
      <c r="N6" s="247">
        <v>0</v>
      </c>
      <c r="O6" s="247">
        <v>0</v>
      </c>
      <c r="P6" s="247">
        <v>0</v>
      </c>
      <c r="Q6" s="246">
        <f t="shared" ref="Q6:Q25" si="5">+L6+N6+P6-O6</f>
        <v>1518849.22</v>
      </c>
      <c r="R6" s="267">
        <f t="shared" ref="R6:R27" si="6">Q6/F6</f>
        <v>6.493600196792702</v>
      </c>
      <c r="T6" s="51" t="b">
        <f t="shared" si="0"/>
        <v>1</v>
      </c>
    </row>
    <row r="7" spans="1:20" ht="15.75" x14ac:dyDescent="0.25">
      <c r="A7" s="209">
        <v>3</v>
      </c>
      <c r="B7" s="210" t="s">
        <v>317</v>
      </c>
      <c r="C7" s="210">
        <v>39</v>
      </c>
      <c r="D7" s="203">
        <f t="shared" si="1"/>
        <v>39</v>
      </c>
      <c r="E7" s="211">
        <v>5732.2481000000007</v>
      </c>
      <c r="F7" s="211">
        <v>7089978.3260400007</v>
      </c>
      <c r="G7" s="212">
        <f t="shared" si="2"/>
        <v>0.81705989128712253</v>
      </c>
      <c r="H7" s="211">
        <v>150</v>
      </c>
      <c r="I7" s="247">
        <v>14870097.453333333</v>
      </c>
      <c r="J7" s="213">
        <v>5.5</v>
      </c>
      <c r="K7" s="247">
        <v>43612866.684999995</v>
      </c>
      <c r="L7" s="246">
        <f t="shared" si="3"/>
        <v>58482964.138333328</v>
      </c>
      <c r="M7" s="214">
        <f t="shared" si="4"/>
        <v>8.2486802425809529</v>
      </c>
      <c r="N7" s="247">
        <v>0</v>
      </c>
      <c r="O7" s="247">
        <v>1066406.5999999999</v>
      </c>
      <c r="P7" s="247">
        <v>736219</v>
      </c>
      <c r="Q7" s="246">
        <f t="shared" si="5"/>
        <v>58152776.538333327</v>
      </c>
      <c r="R7" s="267">
        <f t="shared" si="6"/>
        <v>8.2021092116389696</v>
      </c>
      <c r="T7" s="51" t="b">
        <f t="shared" si="0"/>
        <v>1</v>
      </c>
    </row>
    <row r="8" spans="1:20" ht="15.75" x14ac:dyDescent="0.25">
      <c r="A8" s="209">
        <v>4</v>
      </c>
      <c r="B8" s="210" t="s">
        <v>318</v>
      </c>
      <c r="C8" s="210">
        <v>0</v>
      </c>
      <c r="D8" s="203">
        <f t="shared" si="1"/>
        <v>0</v>
      </c>
      <c r="E8" s="211">
        <v>0</v>
      </c>
      <c r="F8" s="211">
        <v>0</v>
      </c>
      <c r="G8" s="212">
        <f t="shared" si="2"/>
        <v>0</v>
      </c>
      <c r="H8" s="211">
        <v>100</v>
      </c>
      <c r="I8" s="247">
        <v>0</v>
      </c>
      <c r="J8" s="213">
        <v>6</v>
      </c>
      <c r="K8" s="247">
        <v>0</v>
      </c>
      <c r="L8" s="246">
        <f t="shared" si="3"/>
        <v>0</v>
      </c>
      <c r="M8" s="214">
        <v>0</v>
      </c>
      <c r="N8" s="247">
        <v>0</v>
      </c>
      <c r="O8" s="247">
        <v>0</v>
      </c>
      <c r="P8" s="247">
        <v>0</v>
      </c>
      <c r="Q8" s="246">
        <f t="shared" si="5"/>
        <v>0</v>
      </c>
      <c r="R8" s="267"/>
      <c r="T8" s="51" t="b">
        <f t="shared" si="0"/>
        <v>1</v>
      </c>
    </row>
    <row r="9" spans="1:20" ht="15.75" x14ac:dyDescent="0.25">
      <c r="A9" s="209">
        <v>5</v>
      </c>
      <c r="B9" s="210" t="s">
        <v>319</v>
      </c>
      <c r="C9" s="210">
        <v>0</v>
      </c>
      <c r="D9" s="203">
        <f t="shared" si="1"/>
        <v>0</v>
      </c>
      <c r="E9" s="211">
        <v>0</v>
      </c>
      <c r="F9" s="211">
        <v>0</v>
      </c>
      <c r="G9" s="212">
        <f t="shared" si="2"/>
        <v>0</v>
      </c>
      <c r="H9" s="211">
        <v>60</v>
      </c>
      <c r="I9" s="247">
        <v>0</v>
      </c>
      <c r="J9" s="213">
        <v>6</v>
      </c>
      <c r="K9" s="247">
        <v>0</v>
      </c>
      <c r="L9" s="246">
        <f t="shared" si="3"/>
        <v>0</v>
      </c>
      <c r="M9" s="214">
        <v>0</v>
      </c>
      <c r="N9" s="247">
        <v>0</v>
      </c>
      <c r="O9" s="247">
        <v>0</v>
      </c>
      <c r="P9" s="247">
        <v>0</v>
      </c>
      <c r="Q9" s="246">
        <f t="shared" si="5"/>
        <v>0</v>
      </c>
      <c r="R9" s="267"/>
      <c r="T9" s="51" t="b">
        <f t="shared" si="0"/>
        <v>1</v>
      </c>
    </row>
    <row r="10" spans="1:20" ht="15.75" x14ac:dyDescent="0.25">
      <c r="A10" s="209">
        <v>6</v>
      </c>
      <c r="B10" s="210" t="s">
        <v>320</v>
      </c>
      <c r="C10" s="210">
        <v>5</v>
      </c>
      <c r="D10" s="203">
        <f t="shared" si="1"/>
        <v>5</v>
      </c>
      <c r="E10" s="211">
        <v>197.39999999999995</v>
      </c>
      <c r="F10" s="211">
        <v>13707.77</v>
      </c>
      <c r="G10" s="212">
        <f t="shared" si="2"/>
        <v>1.5797042742505122E-3</v>
      </c>
      <c r="H10" s="211">
        <v>125</v>
      </c>
      <c r="I10" s="247">
        <v>34262.1</v>
      </c>
      <c r="J10" s="213">
        <v>6</v>
      </c>
      <c r="K10" s="247">
        <v>110535</v>
      </c>
      <c r="L10" s="246">
        <f t="shared" si="3"/>
        <v>144797.1</v>
      </c>
      <c r="M10" s="214">
        <f t="shared" si="4"/>
        <v>10.56314046704898</v>
      </c>
      <c r="N10" s="247">
        <v>0</v>
      </c>
      <c r="O10" s="247">
        <v>0</v>
      </c>
      <c r="P10" s="247">
        <v>0</v>
      </c>
      <c r="Q10" s="246">
        <f t="shared" si="5"/>
        <v>144797.1</v>
      </c>
      <c r="R10" s="267">
        <f t="shared" si="6"/>
        <v>10.56314046704898</v>
      </c>
      <c r="T10" s="51" t="b">
        <f t="shared" si="0"/>
        <v>1</v>
      </c>
    </row>
    <row r="11" spans="1:20" ht="15.75" x14ac:dyDescent="0.25">
      <c r="A11" s="209">
        <v>7</v>
      </c>
      <c r="B11" s="210" t="s">
        <v>321</v>
      </c>
      <c r="C11" s="210">
        <v>23</v>
      </c>
      <c r="D11" s="203">
        <f t="shared" si="1"/>
        <v>23</v>
      </c>
      <c r="E11" s="211">
        <v>469.44000000000005</v>
      </c>
      <c r="F11" s="211">
        <v>68085.53</v>
      </c>
      <c r="G11" s="212">
        <f t="shared" si="2"/>
        <v>7.8462800846243741E-3</v>
      </c>
      <c r="H11" s="211">
        <v>50</v>
      </c>
      <c r="I11" s="247">
        <v>28164</v>
      </c>
      <c r="J11" s="213" t="s">
        <v>467</v>
      </c>
      <c r="K11" s="247">
        <v>553248</v>
      </c>
      <c r="L11" s="246">
        <f t="shared" si="3"/>
        <v>581412</v>
      </c>
      <c r="M11" s="214">
        <f t="shared" si="4"/>
        <v>8.5394356186990095</v>
      </c>
      <c r="N11" s="247">
        <v>0</v>
      </c>
      <c r="O11" s="247">
        <v>0</v>
      </c>
      <c r="P11" s="247">
        <v>0</v>
      </c>
      <c r="Q11" s="246">
        <f t="shared" si="5"/>
        <v>581412</v>
      </c>
      <c r="R11" s="267">
        <f t="shared" si="6"/>
        <v>8.5394356186990095</v>
      </c>
      <c r="T11" s="51" t="b">
        <f t="shared" si="0"/>
        <v>1</v>
      </c>
    </row>
    <row r="12" spans="1:20" ht="15.75" x14ac:dyDescent="0.25">
      <c r="A12" s="209">
        <v>8</v>
      </c>
      <c r="B12" s="210" t="s">
        <v>322</v>
      </c>
      <c r="C12" s="210">
        <v>0</v>
      </c>
      <c r="D12" s="203">
        <f t="shared" si="1"/>
        <v>0</v>
      </c>
      <c r="E12" s="211">
        <v>0</v>
      </c>
      <c r="F12" s="211">
        <v>0</v>
      </c>
      <c r="G12" s="212">
        <f t="shared" si="2"/>
        <v>0</v>
      </c>
      <c r="H12" s="211">
        <v>70</v>
      </c>
      <c r="I12" s="247">
        <v>0</v>
      </c>
      <c r="J12" s="213" t="s">
        <v>468</v>
      </c>
      <c r="K12" s="247">
        <v>0</v>
      </c>
      <c r="L12" s="246">
        <f t="shared" si="3"/>
        <v>0</v>
      </c>
      <c r="M12" s="211">
        <v>0</v>
      </c>
      <c r="N12" s="247">
        <v>0</v>
      </c>
      <c r="O12" s="247">
        <v>0</v>
      </c>
      <c r="P12" s="247">
        <v>0</v>
      </c>
      <c r="Q12" s="246">
        <f t="shared" si="5"/>
        <v>0</v>
      </c>
      <c r="R12" s="267"/>
      <c r="T12" s="51" t="b">
        <f t="shared" si="0"/>
        <v>1</v>
      </c>
    </row>
    <row r="13" spans="1:20" ht="15.75" x14ac:dyDescent="0.25">
      <c r="A13" s="209">
        <v>9</v>
      </c>
      <c r="B13" s="210" t="s">
        <v>323</v>
      </c>
      <c r="C13" s="210">
        <v>8</v>
      </c>
      <c r="D13" s="203">
        <f t="shared" si="1"/>
        <v>8</v>
      </c>
      <c r="E13" s="211">
        <v>980.8399999999998</v>
      </c>
      <c r="F13" s="211">
        <v>121108.65</v>
      </c>
      <c r="G13" s="212">
        <f t="shared" si="2"/>
        <v>1.3956745120009256E-2</v>
      </c>
      <c r="H13" s="211">
        <v>180</v>
      </c>
      <c r="I13" s="247">
        <v>122724.6</v>
      </c>
      <c r="J13" s="213" t="s">
        <v>470</v>
      </c>
      <c r="K13" s="247">
        <v>1082848</v>
      </c>
      <c r="L13" s="246">
        <f t="shared" si="3"/>
        <v>1205572.6000000001</v>
      </c>
      <c r="M13" s="214">
        <f t="shared" si="4"/>
        <v>9.9544714601310496</v>
      </c>
      <c r="N13" s="247">
        <v>0</v>
      </c>
      <c r="O13" s="247">
        <v>0</v>
      </c>
      <c r="P13" s="247">
        <v>0</v>
      </c>
      <c r="Q13" s="246">
        <f t="shared" si="5"/>
        <v>1205572.6000000001</v>
      </c>
      <c r="R13" s="267">
        <f t="shared" si="6"/>
        <v>9.9544714601310496</v>
      </c>
      <c r="T13" s="51" t="b">
        <f t="shared" si="0"/>
        <v>1</v>
      </c>
    </row>
    <row r="14" spans="1:20" ht="15.75" x14ac:dyDescent="0.25">
      <c r="A14" s="209">
        <v>10</v>
      </c>
      <c r="B14" s="210" t="s">
        <v>324</v>
      </c>
      <c r="C14" s="210">
        <v>4</v>
      </c>
      <c r="D14" s="203">
        <f t="shared" si="1"/>
        <v>4</v>
      </c>
      <c r="E14" s="211">
        <v>780</v>
      </c>
      <c r="F14" s="211">
        <v>30954.6</v>
      </c>
      <c r="G14" s="212">
        <f t="shared" si="2"/>
        <v>3.5672552083756072E-3</v>
      </c>
      <c r="H14" s="211">
        <v>60</v>
      </c>
      <c r="I14" s="247">
        <v>89180</v>
      </c>
      <c r="J14" s="213" t="s">
        <v>471</v>
      </c>
      <c r="K14" s="247">
        <v>276620</v>
      </c>
      <c r="L14" s="246">
        <f t="shared" si="3"/>
        <v>365800</v>
      </c>
      <c r="M14" s="214">
        <f t="shared" si="4"/>
        <v>11.817306636170391</v>
      </c>
      <c r="N14" s="247">
        <v>0</v>
      </c>
      <c r="O14" s="247">
        <v>0</v>
      </c>
      <c r="P14" s="247">
        <v>0</v>
      </c>
      <c r="Q14" s="246">
        <f t="shared" si="5"/>
        <v>365800</v>
      </c>
      <c r="R14" s="267">
        <f t="shared" si="6"/>
        <v>11.817306636170391</v>
      </c>
      <c r="T14" s="51" t="b">
        <f t="shared" si="0"/>
        <v>1</v>
      </c>
    </row>
    <row r="15" spans="1:20" ht="15.75" x14ac:dyDescent="0.25">
      <c r="A15" s="209">
        <v>11</v>
      </c>
      <c r="B15" s="210" t="s">
        <v>325</v>
      </c>
      <c r="C15" s="210">
        <v>0</v>
      </c>
      <c r="D15" s="203">
        <f t="shared" si="1"/>
        <v>0</v>
      </c>
      <c r="E15" s="211">
        <v>0</v>
      </c>
      <c r="F15" s="211">
        <v>0</v>
      </c>
      <c r="G15" s="212">
        <f t="shared" si="2"/>
        <v>0</v>
      </c>
      <c r="H15" s="211">
        <v>120</v>
      </c>
      <c r="I15" s="247">
        <v>0</v>
      </c>
      <c r="J15" s="213" t="s">
        <v>471</v>
      </c>
      <c r="K15" s="247">
        <v>0</v>
      </c>
      <c r="L15" s="246">
        <f t="shared" si="3"/>
        <v>0</v>
      </c>
      <c r="M15" s="214">
        <v>0</v>
      </c>
      <c r="N15" s="247">
        <v>0</v>
      </c>
      <c r="O15" s="247">
        <v>0</v>
      </c>
      <c r="P15" s="247">
        <v>0</v>
      </c>
      <c r="Q15" s="246">
        <f t="shared" si="5"/>
        <v>0</v>
      </c>
      <c r="R15" s="267"/>
      <c r="T15" s="51" t="b">
        <f t="shared" si="0"/>
        <v>1</v>
      </c>
    </row>
    <row r="16" spans="1:20" ht="15.75" x14ac:dyDescent="0.25">
      <c r="A16" s="209">
        <v>12</v>
      </c>
      <c r="B16" s="210" t="s">
        <v>326</v>
      </c>
      <c r="C16" s="210">
        <v>0</v>
      </c>
      <c r="D16" s="203">
        <f t="shared" si="1"/>
        <v>0</v>
      </c>
      <c r="E16" s="211">
        <v>0</v>
      </c>
      <c r="F16" s="211">
        <v>0</v>
      </c>
      <c r="G16" s="212">
        <f t="shared" si="2"/>
        <v>0</v>
      </c>
      <c r="H16" s="256" t="s">
        <v>473</v>
      </c>
      <c r="I16" s="247">
        <v>0</v>
      </c>
      <c r="J16" s="213" t="s">
        <v>474</v>
      </c>
      <c r="K16" s="247">
        <v>0</v>
      </c>
      <c r="L16" s="246">
        <f t="shared" si="3"/>
        <v>0</v>
      </c>
      <c r="M16" s="214">
        <v>0</v>
      </c>
      <c r="N16" s="247">
        <v>0</v>
      </c>
      <c r="O16" s="247">
        <v>0</v>
      </c>
      <c r="P16" s="247">
        <v>0</v>
      </c>
      <c r="Q16" s="246">
        <f t="shared" si="5"/>
        <v>0</v>
      </c>
      <c r="R16" s="267"/>
      <c r="T16" s="51" t="b">
        <f t="shared" si="0"/>
        <v>1</v>
      </c>
    </row>
    <row r="17" spans="1:20" ht="15.75" x14ac:dyDescent="0.25">
      <c r="A17" s="209">
        <v>13</v>
      </c>
      <c r="B17" s="210" t="s">
        <v>327</v>
      </c>
      <c r="C17" s="210">
        <v>4</v>
      </c>
      <c r="D17" s="203">
        <f t="shared" si="1"/>
        <v>4</v>
      </c>
      <c r="E17" s="211">
        <v>210.11999999999992</v>
      </c>
      <c r="F17" s="211">
        <v>18410.799999999996</v>
      </c>
      <c r="G17" s="212">
        <f t="shared" si="2"/>
        <v>2.1216886081668516E-3</v>
      </c>
      <c r="H17" s="211">
        <v>60</v>
      </c>
      <c r="I17" s="247">
        <v>4800</v>
      </c>
      <c r="J17" s="213" t="s">
        <v>479</v>
      </c>
      <c r="K17" s="247">
        <v>100942</v>
      </c>
      <c r="L17" s="246">
        <f t="shared" si="3"/>
        <v>105742</v>
      </c>
      <c r="M17" s="214">
        <f t="shared" si="4"/>
        <v>5.7434766550068455</v>
      </c>
      <c r="N17" s="247">
        <v>0</v>
      </c>
      <c r="O17" s="247">
        <v>0</v>
      </c>
      <c r="P17" s="247">
        <v>0</v>
      </c>
      <c r="Q17" s="246">
        <f t="shared" si="5"/>
        <v>105742</v>
      </c>
      <c r="R17" s="267">
        <f t="shared" si="6"/>
        <v>5.7434766550068455</v>
      </c>
      <c r="T17" s="51" t="b">
        <f t="shared" si="0"/>
        <v>1</v>
      </c>
    </row>
    <row r="18" spans="1:20" ht="15.75" x14ac:dyDescent="0.25">
      <c r="A18" s="209">
        <v>14</v>
      </c>
      <c r="B18" s="210" t="s">
        <v>328</v>
      </c>
      <c r="C18" s="210">
        <v>2</v>
      </c>
      <c r="D18" s="203">
        <f t="shared" si="1"/>
        <v>2</v>
      </c>
      <c r="E18" s="211">
        <v>12.994999999999999</v>
      </c>
      <c r="F18" s="211">
        <v>55331</v>
      </c>
      <c r="G18" s="212">
        <f t="shared" si="2"/>
        <v>6.376428638542599E-3</v>
      </c>
      <c r="H18" s="211">
        <v>120</v>
      </c>
      <c r="I18" s="247">
        <v>81668.916666666672</v>
      </c>
      <c r="J18" s="213" t="s">
        <v>481</v>
      </c>
      <c r="K18" s="247">
        <v>320611.20000000007</v>
      </c>
      <c r="L18" s="246">
        <f t="shared" si="3"/>
        <v>402280.11666666676</v>
      </c>
      <c r="M18" s="214">
        <f t="shared" si="4"/>
        <v>7.2704291747242369</v>
      </c>
      <c r="N18" s="247">
        <v>0</v>
      </c>
      <c r="O18" s="247">
        <v>0</v>
      </c>
      <c r="P18" s="247">
        <v>37988</v>
      </c>
      <c r="Q18" s="246">
        <f t="shared" si="5"/>
        <v>440268.11666666676</v>
      </c>
      <c r="R18" s="267">
        <f t="shared" si="6"/>
        <v>7.9569882464923234</v>
      </c>
      <c r="T18" s="51" t="b">
        <f t="shared" si="0"/>
        <v>1</v>
      </c>
    </row>
    <row r="19" spans="1:20" ht="15.75" x14ac:dyDescent="0.25">
      <c r="A19" s="209">
        <v>15</v>
      </c>
      <c r="B19" s="210" t="s">
        <v>401</v>
      </c>
      <c r="C19" s="203">
        <v>0</v>
      </c>
      <c r="D19" s="203">
        <f t="shared" si="1"/>
        <v>0</v>
      </c>
      <c r="E19" s="211">
        <v>0</v>
      </c>
      <c r="F19" s="211">
        <v>0</v>
      </c>
      <c r="G19" s="216">
        <f t="shared" si="2"/>
        <v>0</v>
      </c>
      <c r="H19" s="211">
        <v>40</v>
      </c>
      <c r="I19" s="247">
        <v>0</v>
      </c>
      <c r="J19" s="213" t="s">
        <v>483</v>
      </c>
      <c r="K19" s="247">
        <v>0</v>
      </c>
      <c r="L19" s="246">
        <f t="shared" si="3"/>
        <v>0</v>
      </c>
      <c r="M19" s="214">
        <v>0</v>
      </c>
      <c r="N19" s="247"/>
      <c r="O19" s="247"/>
      <c r="P19" s="247"/>
      <c r="Q19" s="246">
        <f t="shared" si="5"/>
        <v>0</v>
      </c>
      <c r="R19" s="267"/>
      <c r="T19" s="51" t="b">
        <f t="shared" si="0"/>
        <v>1</v>
      </c>
    </row>
    <row r="20" spans="1:20" ht="15.75" x14ac:dyDescent="0.25">
      <c r="A20" s="209">
        <v>16</v>
      </c>
      <c r="B20" s="210" t="s">
        <v>301</v>
      </c>
      <c r="C20" s="210">
        <v>1</v>
      </c>
      <c r="D20" s="203">
        <f t="shared" si="1"/>
        <v>1</v>
      </c>
      <c r="E20" s="211">
        <v>50</v>
      </c>
      <c r="F20" s="211">
        <v>71140.78</v>
      </c>
      <c r="G20" s="212">
        <f t="shared" si="2"/>
        <v>8.1983717438733894E-3</v>
      </c>
      <c r="H20" s="211">
        <v>40</v>
      </c>
      <c r="I20" s="247">
        <v>180000</v>
      </c>
      <c r="J20" s="213">
        <v>3.9</v>
      </c>
      <c r="K20" s="247">
        <v>426192</v>
      </c>
      <c r="L20" s="246">
        <f t="shared" si="3"/>
        <v>606192</v>
      </c>
      <c r="M20" s="214">
        <f t="shared" si="4"/>
        <v>8.5210198707408047</v>
      </c>
      <c r="N20" s="247">
        <v>0</v>
      </c>
      <c r="O20" s="247">
        <v>0</v>
      </c>
      <c r="P20" s="247">
        <v>0</v>
      </c>
      <c r="Q20" s="246">
        <f t="shared" si="5"/>
        <v>606192</v>
      </c>
      <c r="R20" s="267">
        <f t="shared" si="6"/>
        <v>8.5210198707408047</v>
      </c>
      <c r="T20" s="51" t="b">
        <f t="shared" si="0"/>
        <v>1</v>
      </c>
    </row>
    <row r="21" spans="1:20" ht="16.5" thickBot="1" x14ac:dyDescent="0.3">
      <c r="A21" s="217">
        <v>17</v>
      </c>
      <c r="B21" s="218" t="s">
        <v>65</v>
      </c>
      <c r="C21" s="218">
        <v>1</v>
      </c>
      <c r="D21" s="203">
        <f t="shared" si="1"/>
        <v>1</v>
      </c>
      <c r="E21" s="219">
        <v>39</v>
      </c>
      <c r="F21" s="219">
        <f>10880.75+640</f>
        <v>11520.75</v>
      </c>
      <c r="G21" s="220">
        <f t="shared" si="2"/>
        <v>1.3276687614084265E-3</v>
      </c>
      <c r="H21" s="219">
        <v>125</v>
      </c>
      <c r="I21" s="248">
        <v>281</v>
      </c>
      <c r="J21" s="221">
        <v>6</v>
      </c>
      <c r="K21" s="248">
        <v>41474</v>
      </c>
      <c r="L21" s="246">
        <f t="shared" si="3"/>
        <v>41755</v>
      </c>
      <c r="M21" s="222">
        <f t="shared" si="4"/>
        <v>3.6243300132369853</v>
      </c>
      <c r="N21" s="248">
        <v>0</v>
      </c>
      <c r="O21" s="248">
        <v>0</v>
      </c>
      <c r="P21" s="248">
        <v>0</v>
      </c>
      <c r="Q21" s="246">
        <f t="shared" si="5"/>
        <v>41755</v>
      </c>
      <c r="R21" s="268">
        <f t="shared" si="6"/>
        <v>3.6243300132369853</v>
      </c>
      <c r="T21" s="51" t="b">
        <f t="shared" si="0"/>
        <v>1</v>
      </c>
    </row>
    <row r="22" spans="1:20" ht="16.5" thickBot="1" x14ac:dyDescent="0.3">
      <c r="A22" s="224">
        <v>18</v>
      </c>
      <c r="B22" s="225" t="s">
        <v>450</v>
      </c>
      <c r="C22" s="225">
        <f>SUM(C5:C21)</f>
        <v>225</v>
      </c>
      <c r="D22" s="225">
        <f>SUM(D5:D21)</f>
        <v>225</v>
      </c>
      <c r="E22" s="225">
        <f>SUM(E5:E21)</f>
        <v>20130.125</v>
      </c>
      <c r="F22" s="225">
        <f>SUM(F5:F21)</f>
        <v>8677427.9360000007</v>
      </c>
      <c r="G22" s="226">
        <f t="shared" si="2"/>
        <v>1</v>
      </c>
      <c r="H22" s="227"/>
      <c r="I22" s="249">
        <f>SUM(I5:I21)</f>
        <v>15744121.449999999</v>
      </c>
      <c r="J22" s="228"/>
      <c r="K22" s="249">
        <f>SUM(K5:K21)</f>
        <v>53690821.334999993</v>
      </c>
      <c r="L22" s="249">
        <f>SUM(L5:L21)</f>
        <v>69434942.784999982</v>
      </c>
      <c r="M22" s="229">
        <f t="shared" si="4"/>
        <v>8.0017884674023723</v>
      </c>
      <c r="N22" s="249">
        <f>SUM(N5:N21)</f>
        <v>0</v>
      </c>
      <c r="O22" s="249">
        <f>SUM(O5:O21)</f>
        <v>1066406.5999999999</v>
      </c>
      <c r="P22" s="249">
        <f>SUM(P5:P21)</f>
        <v>774207</v>
      </c>
      <c r="Q22" s="249">
        <f>SUM(Q5:Q21)</f>
        <v>69142743.184999987</v>
      </c>
      <c r="R22" s="269">
        <f t="shared" si="6"/>
        <v>7.968114940851061</v>
      </c>
      <c r="T22" s="51" t="b">
        <f t="shared" si="0"/>
        <v>1</v>
      </c>
    </row>
    <row r="23" spans="1:20" ht="15.75" x14ac:dyDescent="0.25">
      <c r="A23" s="202">
        <v>19</v>
      </c>
      <c r="B23" s="203" t="s">
        <v>496</v>
      </c>
      <c r="C23" s="203">
        <v>3</v>
      </c>
      <c r="D23" s="203">
        <f>+C23</f>
        <v>3</v>
      </c>
      <c r="E23" s="204">
        <v>4500</v>
      </c>
      <c r="F23" s="204">
        <v>15274080</v>
      </c>
      <c r="G23" s="205">
        <f>F23/$F$26</f>
        <v>1</v>
      </c>
      <c r="H23" s="204">
        <v>300</v>
      </c>
      <c r="I23" s="246">
        <v>13663045.199999999</v>
      </c>
      <c r="J23" s="206">
        <v>5.8</v>
      </c>
      <c r="K23" s="246">
        <v>90089098</v>
      </c>
      <c r="L23" s="246">
        <v>103752143.2</v>
      </c>
      <c r="M23" s="207">
        <f t="shared" si="4"/>
        <v>6.7926934519133066</v>
      </c>
      <c r="N23" s="246">
        <v>0</v>
      </c>
      <c r="O23" s="246">
        <v>3312917.8199999989</v>
      </c>
      <c r="P23" s="246">
        <v>0</v>
      </c>
      <c r="Q23" s="246">
        <f t="shared" si="5"/>
        <v>100439225.38000001</v>
      </c>
      <c r="R23" s="266">
        <f t="shared" si="6"/>
        <v>6.5757954246671488</v>
      </c>
      <c r="T23" s="51" t="b">
        <f>Q23=L23+N23-O23+P23</f>
        <v>1</v>
      </c>
    </row>
    <row r="24" spans="1:20" ht="15.75" x14ac:dyDescent="0.25">
      <c r="A24" s="209">
        <v>20</v>
      </c>
      <c r="B24" s="210" t="s">
        <v>495</v>
      </c>
      <c r="C24" s="210">
        <v>0</v>
      </c>
      <c r="D24" s="203">
        <f>+C24</f>
        <v>0</v>
      </c>
      <c r="E24" s="211">
        <v>0</v>
      </c>
      <c r="F24" s="211">
        <v>0</v>
      </c>
      <c r="G24" s="212">
        <f>F24/$F$26</f>
        <v>0</v>
      </c>
      <c r="H24" s="211">
        <v>350</v>
      </c>
      <c r="I24" s="247">
        <v>0</v>
      </c>
      <c r="J24" s="213">
        <v>5.4</v>
      </c>
      <c r="K24" s="247">
        <v>0</v>
      </c>
      <c r="L24" s="247">
        <v>0</v>
      </c>
      <c r="M24" s="214"/>
      <c r="N24" s="247">
        <v>0</v>
      </c>
      <c r="O24" s="247">
        <v>0</v>
      </c>
      <c r="P24" s="247">
        <v>0</v>
      </c>
      <c r="Q24" s="246">
        <f t="shared" si="5"/>
        <v>0</v>
      </c>
      <c r="R24" s="267"/>
      <c r="T24" s="51" t="b">
        <f>Q24=L24+N24-O24+P24</f>
        <v>1</v>
      </c>
    </row>
    <row r="25" spans="1:20" ht="16.5" thickBot="1" x14ac:dyDescent="0.3">
      <c r="A25" s="217">
        <v>21</v>
      </c>
      <c r="B25" s="218" t="s">
        <v>66</v>
      </c>
      <c r="C25" s="218">
        <v>0</v>
      </c>
      <c r="D25" s="203">
        <f>+C25</f>
        <v>0</v>
      </c>
      <c r="E25" s="219">
        <v>0</v>
      </c>
      <c r="F25" s="219">
        <v>0</v>
      </c>
      <c r="G25" s="220">
        <f>F25/$F$26</f>
        <v>0</v>
      </c>
      <c r="H25" s="219">
        <v>400</v>
      </c>
      <c r="I25" s="248">
        <v>0</v>
      </c>
      <c r="J25" s="221" t="s">
        <v>493</v>
      </c>
      <c r="K25" s="248">
        <v>0</v>
      </c>
      <c r="L25" s="248">
        <v>0</v>
      </c>
      <c r="M25" s="222"/>
      <c r="N25" s="248">
        <v>0</v>
      </c>
      <c r="O25" s="248">
        <v>0</v>
      </c>
      <c r="P25" s="248">
        <v>0</v>
      </c>
      <c r="Q25" s="246">
        <f t="shared" si="5"/>
        <v>0</v>
      </c>
      <c r="R25" s="268"/>
      <c r="T25" s="51" t="b">
        <f>Q25=L25+N25-O25+P25</f>
        <v>1</v>
      </c>
    </row>
    <row r="26" spans="1:20" ht="15.75" x14ac:dyDescent="0.25">
      <c r="A26" s="231">
        <v>22</v>
      </c>
      <c r="B26" s="232" t="s">
        <v>451</v>
      </c>
      <c r="C26" s="232">
        <v>3</v>
      </c>
      <c r="D26" s="232">
        <v>3</v>
      </c>
      <c r="E26" s="232">
        <v>4500</v>
      </c>
      <c r="F26" s="232">
        <f>SUM(F23:F25)</f>
        <v>15274080</v>
      </c>
      <c r="G26" s="234">
        <f>F26/$F$26</f>
        <v>1</v>
      </c>
      <c r="H26" s="233"/>
      <c r="I26" s="250">
        <f>SUM(I23:I25)</f>
        <v>13663045.199999999</v>
      </c>
      <c r="J26" s="233"/>
      <c r="K26" s="250">
        <f>SUM(K23:K25)</f>
        <v>90089098</v>
      </c>
      <c r="L26" s="250">
        <f>SUM(L23:L25)</f>
        <v>103752143.2</v>
      </c>
      <c r="M26" s="235">
        <f t="shared" si="4"/>
        <v>6.7926934519133066</v>
      </c>
      <c r="N26" s="250">
        <f>SUM(N23:N25)</f>
        <v>0</v>
      </c>
      <c r="O26" s="250">
        <f>SUM(O23:O25)</f>
        <v>3312917.8199999989</v>
      </c>
      <c r="P26" s="250">
        <f>SUM(P23:P25)</f>
        <v>0</v>
      </c>
      <c r="Q26" s="250">
        <f>SUM(Q23:Q25)</f>
        <v>100439225.38000001</v>
      </c>
      <c r="R26" s="270">
        <f t="shared" si="6"/>
        <v>6.5757954246671488</v>
      </c>
      <c r="T26" s="51" t="b">
        <f>Q26=L26+N26-O26+P26</f>
        <v>1</v>
      </c>
    </row>
    <row r="27" spans="1:20" ht="16.5" thickBot="1" x14ac:dyDescent="0.3">
      <c r="A27" s="237">
        <v>23</v>
      </c>
      <c r="B27" s="238" t="s">
        <v>358</v>
      </c>
      <c r="C27" s="238">
        <f>C22+C26</f>
        <v>228</v>
      </c>
      <c r="D27" s="238">
        <f>D22+D26</f>
        <v>228</v>
      </c>
      <c r="E27" s="238">
        <f>E22+E26</f>
        <v>24630.125</v>
      </c>
      <c r="F27" s="238">
        <f>F22+F26</f>
        <v>23951507.936000001</v>
      </c>
      <c r="G27" s="238"/>
      <c r="H27" s="238"/>
      <c r="I27" s="251">
        <f>I22+I26</f>
        <v>29407166.649999999</v>
      </c>
      <c r="J27" s="238"/>
      <c r="K27" s="251">
        <f>K22+K26</f>
        <v>143779919.33499998</v>
      </c>
      <c r="L27" s="251">
        <f>L22+L26</f>
        <v>173187085.98499998</v>
      </c>
      <c r="M27" s="238">
        <f t="shared" si="4"/>
        <v>7.230738308743117</v>
      </c>
      <c r="N27" s="251">
        <f>N22+N26</f>
        <v>0</v>
      </c>
      <c r="O27" s="251">
        <f>O22+O26</f>
        <v>4379324.419999999</v>
      </c>
      <c r="P27" s="251">
        <f>P22+P26</f>
        <v>774207</v>
      </c>
      <c r="Q27" s="251">
        <f>Q22+Q26</f>
        <v>169581968.565</v>
      </c>
      <c r="R27" s="271">
        <f t="shared" si="6"/>
        <v>7.0802209622097338</v>
      </c>
    </row>
    <row r="28" spans="1:20" ht="15.75" x14ac:dyDescent="0.25">
      <c r="A28" s="202">
        <v>24</v>
      </c>
      <c r="B28" s="203" t="s">
        <v>25</v>
      </c>
      <c r="C28" s="203"/>
      <c r="D28" s="203"/>
      <c r="E28" s="204"/>
      <c r="F28" s="204"/>
      <c r="G28" s="204"/>
      <c r="H28" s="204"/>
      <c r="I28" s="204"/>
      <c r="J28" s="204"/>
      <c r="K28" s="204"/>
      <c r="L28" s="204"/>
      <c r="M28" s="207"/>
      <c r="N28" s="246"/>
      <c r="O28" s="246"/>
      <c r="P28" s="246"/>
      <c r="Q28" s="246">
        <v>6891680.4335000003</v>
      </c>
      <c r="R28" s="266"/>
    </row>
    <row r="29" spans="1:20" ht="15.75" x14ac:dyDescent="0.25">
      <c r="A29" s="209">
        <v>25</v>
      </c>
      <c r="B29" s="210" t="s">
        <v>26</v>
      </c>
      <c r="C29" s="210"/>
      <c r="D29" s="210"/>
      <c r="E29" s="211"/>
      <c r="F29" s="211"/>
      <c r="G29" s="211"/>
      <c r="H29" s="211"/>
      <c r="I29" s="211"/>
      <c r="J29" s="211"/>
      <c r="K29" s="211"/>
      <c r="L29" s="211"/>
      <c r="M29" s="211"/>
      <c r="N29" s="247"/>
      <c r="O29" s="247"/>
      <c r="P29" s="247"/>
      <c r="Q29" s="247">
        <f>Q27+Q28</f>
        <v>176473648.99849999</v>
      </c>
      <c r="R29" s="267"/>
    </row>
    <row r="30" spans="1:20" ht="16.5" thickBot="1" x14ac:dyDescent="0.3">
      <c r="A30" s="217">
        <v>26</v>
      </c>
      <c r="B30" s="218" t="s">
        <v>498</v>
      </c>
      <c r="C30" s="218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48"/>
      <c r="O30" s="248"/>
      <c r="P30" s="248"/>
      <c r="Q30" s="248">
        <f>Q28+(([2]Surcharge!$G$34+'[2]Sec 5 A'!$G$21+[2]Sec4!$M$22))</f>
        <v>6964010.373315</v>
      </c>
      <c r="R30" s="268"/>
    </row>
    <row r="31" spans="1:20" ht="16.5" thickBot="1" x14ac:dyDescent="0.3">
      <c r="A31" s="224">
        <v>27</v>
      </c>
      <c r="B31" s="225" t="s">
        <v>489</v>
      </c>
      <c r="C31" s="225"/>
      <c r="D31" s="225"/>
      <c r="E31" s="228"/>
      <c r="F31" s="228"/>
      <c r="G31" s="228"/>
      <c r="H31" s="228"/>
      <c r="I31" s="228"/>
      <c r="J31" s="228"/>
      <c r="K31" s="228"/>
      <c r="L31" s="228"/>
      <c r="M31" s="228"/>
      <c r="N31" s="249"/>
      <c r="O31" s="249"/>
      <c r="P31" s="249"/>
      <c r="Q31" s="249">
        <f>Q29-Q30</f>
        <v>169509638.62518498</v>
      </c>
      <c r="R31" s="269"/>
    </row>
    <row r="33" spans="1:17" ht="18.75" hidden="1" thickBot="1" x14ac:dyDescent="0.3">
      <c r="P33" s="53" t="s">
        <v>497</v>
      </c>
      <c r="Q33" s="54">
        <f>Q31/10^5</f>
        <v>1695.0963862518499</v>
      </c>
    </row>
    <row r="34" spans="1:17" ht="18" x14ac:dyDescent="0.25">
      <c r="P34" s="969"/>
      <c r="Q34" s="970"/>
    </row>
    <row r="35" spans="1:17" x14ac:dyDescent="0.2">
      <c r="L35" s="52"/>
    </row>
    <row r="36" spans="1:17" x14ac:dyDescent="0.2">
      <c r="L36" s="52"/>
    </row>
    <row r="37" spans="1:17" ht="16.5" x14ac:dyDescent="0.3">
      <c r="A37" s="950" t="s">
        <v>723</v>
      </c>
      <c r="B37" s="951"/>
      <c r="C37" s="951"/>
      <c r="D37" s="952"/>
      <c r="E37" s="952"/>
      <c r="L37" s="953" t="s">
        <v>724</v>
      </c>
    </row>
    <row r="38" spans="1:17" ht="16.5" x14ac:dyDescent="0.3">
      <c r="A38" s="950" t="s">
        <v>725</v>
      </c>
      <c r="B38" s="951"/>
      <c r="C38" s="951"/>
      <c r="D38" s="952"/>
      <c r="E38" s="952"/>
      <c r="L38" s="954" t="s">
        <v>726</v>
      </c>
    </row>
    <row r="39" spans="1:17" ht="15.75" x14ac:dyDescent="0.25">
      <c r="A39" s="952"/>
      <c r="B39" s="952"/>
      <c r="C39" s="952"/>
      <c r="D39" s="952"/>
      <c r="E39" s="955"/>
      <c r="L39" s="952"/>
    </row>
    <row r="40" spans="1:17" ht="15.75" x14ac:dyDescent="0.25">
      <c r="A40" s="952"/>
      <c r="B40" s="952"/>
      <c r="C40" s="952"/>
      <c r="D40" s="952"/>
      <c r="E40" s="955"/>
      <c r="L40" s="952"/>
    </row>
    <row r="41" spans="1:17" ht="15.75" x14ac:dyDescent="0.25">
      <c r="A41" s="952"/>
      <c r="B41" s="952"/>
      <c r="C41" s="952"/>
      <c r="D41" s="952"/>
      <c r="E41" s="955"/>
      <c r="L41" s="952"/>
    </row>
    <row r="42" spans="1:17" ht="15.75" x14ac:dyDescent="0.25">
      <c r="A42" s="952"/>
      <c r="B42" s="952"/>
      <c r="C42" s="952"/>
      <c r="D42" s="952"/>
      <c r="E42" s="952"/>
      <c r="L42" s="952"/>
    </row>
    <row r="43" spans="1:17" ht="16.5" x14ac:dyDescent="0.3">
      <c r="A43" s="963" t="s">
        <v>731</v>
      </c>
      <c r="B43" s="956"/>
      <c r="C43" s="957"/>
      <c r="D43" s="952"/>
      <c r="E43" s="952"/>
      <c r="L43" s="958" t="s">
        <v>728</v>
      </c>
    </row>
    <row r="44" spans="1:17" ht="16.5" x14ac:dyDescent="0.3">
      <c r="A44" s="963" t="s">
        <v>732</v>
      </c>
      <c r="B44" s="959"/>
      <c r="C44" s="957"/>
      <c r="D44" s="952"/>
      <c r="E44" s="960"/>
      <c r="L44" s="958" t="s">
        <v>730</v>
      </c>
    </row>
    <row r="45" spans="1:17" ht="15.75" x14ac:dyDescent="0.25">
      <c r="A45" s="961"/>
      <c r="B45" s="961"/>
      <c r="C45" s="961"/>
      <c r="D45" s="961"/>
      <c r="E45" s="952"/>
      <c r="F45" s="952"/>
    </row>
    <row r="46" spans="1:17" ht="15.75" x14ac:dyDescent="0.25">
      <c r="A46" s="961"/>
      <c r="B46" s="961"/>
      <c r="C46" s="961"/>
      <c r="D46" s="952"/>
      <c r="E46" s="958"/>
      <c r="F46" s="952"/>
    </row>
    <row r="47" spans="1:17" ht="16.5" x14ac:dyDescent="0.3">
      <c r="A47" s="952"/>
      <c r="B47" s="961"/>
      <c r="C47" s="961"/>
      <c r="D47" s="952"/>
      <c r="E47" s="962"/>
      <c r="F47" s="952"/>
    </row>
    <row r="48" spans="1:17" ht="16.5" x14ac:dyDescent="0.3">
      <c r="B48" s="961"/>
      <c r="C48" s="961"/>
      <c r="D48" s="14"/>
      <c r="E48" s="962"/>
      <c r="F48" s="952"/>
    </row>
    <row r="49" spans="2:6" ht="15.75" x14ac:dyDescent="0.25">
      <c r="B49" s="964"/>
      <c r="C49" s="964"/>
      <c r="D49" s="964"/>
      <c r="E49" s="965"/>
      <c r="F49" s="952"/>
    </row>
  </sheetData>
  <mergeCells count="2">
    <mergeCell ref="A1:R1"/>
    <mergeCell ref="A2:R2"/>
  </mergeCells>
  <printOptions horizontalCentered="1" verticalCentered="1"/>
  <pageMargins left="0.25" right="0.25" top="0.75" bottom="0.75" header="0.3" footer="0.3"/>
  <pageSetup paperSize="9" scale="57" fitToHeight="0" orientation="landscape" r:id="rId1"/>
  <ignoredErrors>
    <ignoredError sqref="I22 C22:F22 L22" formulaRange="1"/>
    <ignoredError sqref="K22" formulaRange="1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  <pageSetUpPr fitToPage="1"/>
  </sheetPr>
  <dimension ref="A1:T50"/>
  <sheetViews>
    <sheetView topLeftCell="A16" zoomScale="70" zoomScaleNormal="70" workbookViewId="0">
      <selection sqref="A1:R45"/>
    </sheetView>
  </sheetViews>
  <sheetFormatPr defaultRowHeight="14.25" x14ac:dyDescent="0.2"/>
  <cols>
    <col min="1" max="1" width="9.28515625" style="25" bestFit="1" customWidth="1"/>
    <col min="2" max="2" width="57.42578125" style="25" bestFit="1" customWidth="1"/>
    <col min="3" max="3" width="4.28515625" style="25" bestFit="1" customWidth="1"/>
    <col min="4" max="4" width="7.28515625" style="25" bestFit="1" customWidth="1"/>
    <col min="5" max="5" width="10.85546875" style="25" customWidth="1"/>
    <col min="6" max="6" width="14.85546875" style="25" bestFit="1" customWidth="1"/>
    <col min="7" max="7" width="10" style="25" bestFit="1" customWidth="1"/>
    <col min="8" max="8" width="8.85546875" style="25" bestFit="1" customWidth="1"/>
    <col min="9" max="9" width="12.85546875" style="25" bestFit="1" customWidth="1"/>
    <col min="10" max="10" width="11.42578125" style="25" bestFit="1" customWidth="1"/>
    <col min="11" max="12" width="12.85546875" style="25" bestFit="1" customWidth="1"/>
    <col min="13" max="13" width="8.85546875" style="25" bestFit="1" customWidth="1"/>
    <col min="14" max="15" width="6.28515625" style="25" bestFit="1" customWidth="1"/>
    <col min="16" max="16" width="12.5703125" style="25" bestFit="1" customWidth="1"/>
    <col min="17" max="17" width="15.85546875" style="25" bestFit="1" customWidth="1"/>
    <col min="18" max="18" width="10.28515625" style="25" customWidth="1"/>
    <col min="19" max="16384" width="9.140625" style="25"/>
  </cols>
  <sheetData>
    <row r="1" spans="1:20" ht="17.25" thickBot="1" x14ac:dyDescent="0.35">
      <c r="A1" s="994" t="s">
        <v>507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5"/>
      <c r="P1" s="995"/>
      <c r="Q1" s="995"/>
      <c r="R1" s="996"/>
    </row>
    <row r="2" spans="1:20" ht="16.5" thickBot="1" x14ac:dyDescent="0.3">
      <c r="A2" s="997" t="s">
        <v>303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9"/>
    </row>
    <row r="3" spans="1:20" ht="147" x14ac:dyDescent="0.2">
      <c r="A3" s="194" t="s">
        <v>445</v>
      </c>
      <c r="B3" s="195" t="s">
        <v>1</v>
      </c>
      <c r="C3" s="196" t="s">
        <v>19</v>
      </c>
      <c r="D3" s="196" t="s">
        <v>20</v>
      </c>
      <c r="E3" s="197" t="s">
        <v>446</v>
      </c>
      <c r="F3" s="197" t="s">
        <v>295</v>
      </c>
      <c r="G3" s="197" t="s">
        <v>21</v>
      </c>
      <c r="H3" s="197" t="s">
        <v>505</v>
      </c>
      <c r="I3" s="197" t="s">
        <v>308</v>
      </c>
      <c r="J3" s="197" t="s">
        <v>506</v>
      </c>
      <c r="K3" s="197" t="s">
        <v>309</v>
      </c>
      <c r="L3" s="197" t="s">
        <v>67</v>
      </c>
      <c r="M3" s="197" t="s">
        <v>23</v>
      </c>
      <c r="N3" s="197" t="s">
        <v>447</v>
      </c>
      <c r="O3" s="197" t="s">
        <v>304</v>
      </c>
      <c r="P3" s="197" t="s">
        <v>305</v>
      </c>
      <c r="Q3" s="197" t="s">
        <v>448</v>
      </c>
      <c r="R3" s="198" t="s">
        <v>449</v>
      </c>
      <c r="T3" s="47" t="s">
        <v>488</v>
      </c>
    </row>
    <row r="4" spans="1:20" ht="16.5" thickBot="1" x14ac:dyDescent="0.3">
      <c r="A4" s="199">
        <v>1</v>
      </c>
      <c r="B4" s="200">
        <v>2</v>
      </c>
      <c r="C4" s="200">
        <v>3</v>
      </c>
      <c r="D4" s="200">
        <v>4</v>
      </c>
      <c r="E4" s="200">
        <v>5</v>
      </c>
      <c r="F4" s="200">
        <v>6</v>
      </c>
      <c r="G4" s="200">
        <v>7</v>
      </c>
      <c r="H4" s="200">
        <v>8</v>
      </c>
      <c r="I4" s="200">
        <v>9</v>
      </c>
      <c r="J4" s="200">
        <v>10</v>
      </c>
      <c r="K4" s="200">
        <v>11</v>
      </c>
      <c r="L4" s="200">
        <v>12</v>
      </c>
      <c r="M4" s="200">
        <v>13</v>
      </c>
      <c r="N4" s="200">
        <v>14</v>
      </c>
      <c r="O4" s="200">
        <v>15</v>
      </c>
      <c r="P4" s="200">
        <v>16</v>
      </c>
      <c r="Q4" s="200">
        <v>17</v>
      </c>
      <c r="R4" s="201">
        <v>18</v>
      </c>
      <c r="T4" s="28"/>
    </row>
    <row r="5" spans="1:20" ht="15.75" x14ac:dyDescent="0.25">
      <c r="A5" s="202">
        <v>1</v>
      </c>
      <c r="B5" s="203" t="s">
        <v>315</v>
      </c>
      <c r="C5" s="203">
        <v>39</v>
      </c>
      <c r="D5" s="203">
        <f>+C5</f>
        <v>39</v>
      </c>
      <c r="E5" s="204">
        <v>2555.9639999999999</v>
      </c>
      <c r="F5" s="204">
        <v>79098.4388168</v>
      </c>
      <c r="G5" s="205">
        <f>F5/$F$22</f>
        <v>0.16713757572122306</v>
      </c>
      <c r="H5" s="204">
        <v>100</v>
      </c>
      <c r="I5" s="246">
        <v>47100</v>
      </c>
      <c r="J5" s="206">
        <v>5.5</v>
      </c>
      <c r="K5" s="246">
        <v>473899.50490080001</v>
      </c>
      <c r="L5" s="246">
        <f t="shared" ref="L5:L21" si="0">+K5+I5</f>
        <v>520999.50490080001</v>
      </c>
      <c r="M5" s="207">
        <f>L5/F5</f>
        <v>6.5867229833383645</v>
      </c>
      <c r="N5" s="240">
        <v>0</v>
      </c>
      <c r="O5" s="240">
        <v>0</v>
      </c>
      <c r="P5" s="240"/>
      <c r="Q5" s="246">
        <f t="shared" ref="Q5:Q21" si="1">+L5+N5+P5-O5</f>
        <v>520999.50490080001</v>
      </c>
      <c r="R5" s="260">
        <f>Q5/F5</f>
        <v>6.5867229833383645</v>
      </c>
      <c r="T5" s="51" t="b">
        <f t="shared" ref="T5:T22" si="2">Q5=L5+N5-O5+P5</f>
        <v>1</v>
      </c>
    </row>
    <row r="6" spans="1:20" ht="15.75" x14ac:dyDescent="0.25">
      <c r="A6" s="209">
        <v>2</v>
      </c>
      <c r="B6" s="210" t="s">
        <v>316</v>
      </c>
      <c r="C6" s="210">
        <v>4</v>
      </c>
      <c r="D6" s="203">
        <f t="shared" ref="D6:D25" si="3">+C6</f>
        <v>4</v>
      </c>
      <c r="E6" s="211">
        <v>500.8599999999999</v>
      </c>
      <c r="F6" s="211">
        <v>39396.037999999993</v>
      </c>
      <c r="G6" s="212">
        <f t="shared" ref="G6:G22" si="4">F6/$F$22</f>
        <v>8.3245110558903504E-2</v>
      </c>
      <c r="H6" s="211">
        <v>75</v>
      </c>
      <c r="I6" s="247">
        <v>30051.599999999999</v>
      </c>
      <c r="J6" s="213">
        <v>5.5</v>
      </c>
      <c r="K6" s="247">
        <v>236013.76619999998</v>
      </c>
      <c r="L6" s="246">
        <f t="shared" si="0"/>
        <v>266065.36619999999</v>
      </c>
      <c r="M6" s="214">
        <f>L6/F6</f>
        <v>6.7536072079126344</v>
      </c>
      <c r="N6" s="240">
        <v>0</v>
      </c>
      <c r="O6" s="240">
        <v>0</v>
      </c>
      <c r="P6" s="241"/>
      <c r="Q6" s="246">
        <f t="shared" si="1"/>
        <v>266065.36619999999</v>
      </c>
      <c r="R6" s="261">
        <f>Q6/F6</f>
        <v>6.7536072079126344</v>
      </c>
      <c r="T6" s="51" t="b">
        <f t="shared" si="2"/>
        <v>1</v>
      </c>
    </row>
    <row r="7" spans="1:20" ht="15.75" x14ac:dyDescent="0.25">
      <c r="A7" s="209">
        <v>3</v>
      </c>
      <c r="B7" s="210" t="s">
        <v>317</v>
      </c>
      <c r="C7" s="210">
        <v>6</v>
      </c>
      <c r="D7" s="203">
        <f t="shared" si="3"/>
        <v>6</v>
      </c>
      <c r="E7" s="211">
        <v>10833.623999999998</v>
      </c>
      <c r="F7" s="211">
        <v>339792.2</v>
      </c>
      <c r="G7" s="212">
        <f t="shared" si="4"/>
        <v>0.71799197817945692</v>
      </c>
      <c r="H7" s="211">
        <v>150</v>
      </c>
      <c r="I7" s="247">
        <v>2640687.3125</v>
      </c>
      <c r="J7" s="213">
        <v>5.5</v>
      </c>
      <c r="K7" s="247">
        <v>2035575.8799999997</v>
      </c>
      <c r="L7" s="246">
        <f t="shared" si="0"/>
        <v>4676263.1924999999</v>
      </c>
      <c r="M7" s="214">
        <f>L7/F7</f>
        <v>13.762126359875241</v>
      </c>
      <c r="N7" s="240">
        <v>0</v>
      </c>
      <c r="O7" s="240">
        <v>0</v>
      </c>
      <c r="P7" s="241"/>
      <c r="Q7" s="246">
        <f t="shared" si="1"/>
        <v>4676263.1924999999</v>
      </c>
      <c r="R7" s="261">
        <f>Q7/F7</f>
        <v>13.762126359875241</v>
      </c>
      <c r="T7" s="51" t="b">
        <f t="shared" si="2"/>
        <v>1</v>
      </c>
    </row>
    <row r="8" spans="1:20" ht="15.75" x14ac:dyDescent="0.25">
      <c r="A8" s="209">
        <v>4</v>
      </c>
      <c r="B8" s="210" t="s">
        <v>318</v>
      </c>
      <c r="C8" s="210">
        <v>0</v>
      </c>
      <c r="D8" s="203">
        <f t="shared" si="3"/>
        <v>0</v>
      </c>
      <c r="E8" s="211">
        <v>0</v>
      </c>
      <c r="F8" s="211">
        <v>0</v>
      </c>
      <c r="G8" s="212">
        <f t="shared" si="4"/>
        <v>0</v>
      </c>
      <c r="H8" s="211">
        <v>100</v>
      </c>
      <c r="I8" s="247">
        <v>0</v>
      </c>
      <c r="J8" s="213">
        <v>6</v>
      </c>
      <c r="K8" s="247">
        <v>0</v>
      </c>
      <c r="L8" s="246">
        <f t="shared" si="0"/>
        <v>0</v>
      </c>
      <c r="M8" s="214"/>
      <c r="N8" s="240">
        <v>0</v>
      </c>
      <c r="O8" s="240">
        <v>0</v>
      </c>
      <c r="P8" s="241"/>
      <c r="Q8" s="246">
        <f t="shared" si="1"/>
        <v>0</v>
      </c>
      <c r="R8" s="261"/>
      <c r="T8" s="51" t="b">
        <f t="shared" si="2"/>
        <v>1</v>
      </c>
    </row>
    <row r="9" spans="1:20" ht="15.75" x14ac:dyDescent="0.25">
      <c r="A9" s="209">
        <v>5</v>
      </c>
      <c r="B9" s="210" t="s">
        <v>319</v>
      </c>
      <c r="C9" s="210">
        <v>0</v>
      </c>
      <c r="D9" s="203">
        <f t="shared" si="3"/>
        <v>0</v>
      </c>
      <c r="E9" s="211">
        <v>0</v>
      </c>
      <c r="F9" s="211">
        <v>0</v>
      </c>
      <c r="G9" s="212">
        <f t="shared" si="4"/>
        <v>0</v>
      </c>
      <c r="H9" s="211">
        <v>60</v>
      </c>
      <c r="I9" s="247">
        <v>0</v>
      </c>
      <c r="J9" s="213">
        <v>6</v>
      </c>
      <c r="K9" s="247">
        <v>0</v>
      </c>
      <c r="L9" s="246">
        <f t="shared" si="0"/>
        <v>0</v>
      </c>
      <c r="M9" s="214"/>
      <c r="N9" s="240">
        <v>0</v>
      </c>
      <c r="O9" s="240">
        <v>0</v>
      </c>
      <c r="P9" s="241"/>
      <c r="Q9" s="246">
        <f t="shared" si="1"/>
        <v>0</v>
      </c>
      <c r="R9" s="261"/>
      <c r="T9" s="51" t="b">
        <f t="shared" si="2"/>
        <v>1</v>
      </c>
    </row>
    <row r="10" spans="1:20" ht="15.75" x14ac:dyDescent="0.25">
      <c r="A10" s="209">
        <v>6</v>
      </c>
      <c r="B10" s="210" t="s">
        <v>320</v>
      </c>
      <c r="C10" s="210">
        <v>0</v>
      </c>
      <c r="D10" s="203">
        <f t="shared" si="3"/>
        <v>0</v>
      </c>
      <c r="E10" s="211">
        <v>0</v>
      </c>
      <c r="F10" s="211">
        <v>0</v>
      </c>
      <c r="G10" s="212">
        <f t="shared" si="4"/>
        <v>0</v>
      </c>
      <c r="H10" s="211">
        <v>125</v>
      </c>
      <c r="I10" s="247">
        <v>0</v>
      </c>
      <c r="J10" s="213">
        <v>6</v>
      </c>
      <c r="K10" s="247">
        <v>0</v>
      </c>
      <c r="L10" s="246">
        <f t="shared" si="0"/>
        <v>0</v>
      </c>
      <c r="M10" s="214"/>
      <c r="N10" s="240">
        <v>0</v>
      </c>
      <c r="O10" s="240">
        <v>0</v>
      </c>
      <c r="P10" s="241"/>
      <c r="Q10" s="246">
        <f t="shared" si="1"/>
        <v>0</v>
      </c>
      <c r="R10" s="261"/>
      <c r="T10" s="51" t="b">
        <f t="shared" si="2"/>
        <v>1</v>
      </c>
    </row>
    <row r="11" spans="1:20" ht="15.75" x14ac:dyDescent="0.25">
      <c r="A11" s="209">
        <v>7</v>
      </c>
      <c r="B11" s="210" t="s">
        <v>321</v>
      </c>
      <c r="C11" s="210">
        <v>0</v>
      </c>
      <c r="D11" s="203">
        <f t="shared" si="3"/>
        <v>0</v>
      </c>
      <c r="E11" s="211">
        <v>0</v>
      </c>
      <c r="F11" s="211">
        <v>0</v>
      </c>
      <c r="G11" s="212">
        <f t="shared" si="4"/>
        <v>0</v>
      </c>
      <c r="H11" s="211">
        <v>50</v>
      </c>
      <c r="I11" s="247">
        <v>0</v>
      </c>
      <c r="J11" s="213" t="s">
        <v>467</v>
      </c>
      <c r="K11" s="247">
        <v>0</v>
      </c>
      <c r="L11" s="246">
        <f t="shared" si="0"/>
        <v>0</v>
      </c>
      <c r="M11" s="214"/>
      <c r="N11" s="240">
        <v>0</v>
      </c>
      <c r="O11" s="240">
        <v>0</v>
      </c>
      <c r="P11" s="241"/>
      <c r="Q11" s="246">
        <f t="shared" si="1"/>
        <v>0</v>
      </c>
      <c r="R11" s="261"/>
      <c r="T11" s="51" t="b">
        <f t="shared" si="2"/>
        <v>1</v>
      </c>
    </row>
    <row r="12" spans="1:20" ht="15.75" x14ac:dyDescent="0.25">
      <c r="A12" s="209">
        <v>8</v>
      </c>
      <c r="B12" s="210" t="s">
        <v>322</v>
      </c>
      <c r="C12" s="210">
        <v>1</v>
      </c>
      <c r="D12" s="203">
        <f t="shared" si="3"/>
        <v>1</v>
      </c>
      <c r="E12" s="211">
        <v>12</v>
      </c>
      <c r="F12" s="211">
        <v>433</v>
      </c>
      <c r="G12" s="212">
        <f t="shared" si="4"/>
        <v>9.1494309331322161E-4</v>
      </c>
      <c r="H12" s="211">
        <v>70</v>
      </c>
      <c r="I12" s="247">
        <v>720</v>
      </c>
      <c r="J12" s="213" t="s">
        <v>468</v>
      </c>
      <c r="K12" s="247">
        <v>2598</v>
      </c>
      <c r="L12" s="246">
        <f t="shared" si="0"/>
        <v>3318</v>
      </c>
      <c r="M12" s="214">
        <f>L12/F12</f>
        <v>7.6628175519630481</v>
      </c>
      <c r="N12" s="240">
        <v>0</v>
      </c>
      <c r="O12" s="240">
        <v>0</v>
      </c>
      <c r="P12" s="241"/>
      <c r="Q12" s="246">
        <f t="shared" si="1"/>
        <v>3318</v>
      </c>
      <c r="R12" s="261">
        <f>Q12/F12</f>
        <v>7.6628175519630481</v>
      </c>
      <c r="T12" s="51" t="b">
        <f t="shared" si="2"/>
        <v>1</v>
      </c>
    </row>
    <row r="13" spans="1:20" ht="15.75" x14ac:dyDescent="0.25">
      <c r="A13" s="209">
        <v>9</v>
      </c>
      <c r="B13" s="210" t="s">
        <v>323</v>
      </c>
      <c r="C13" s="210">
        <v>0</v>
      </c>
      <c r="D13" s="203">
        <f t="shared" si="3"/>
        <v>0</v>
      </c>
      <c r="E13" s="211">
        <v>0</v>
      </c>
      <c r="F13" s="211">
        <v>0</v>
      </c>
      <c r="G13" s="212">
        <f t="shared" si="4"/>
        <v>0</v>
      </c>
      <c r="H13" s="211">
        <v>180</v>
      </c>
      <c r="I13" s="247">
        <v>0</v>
      </c>
      <c r="J13" s="213" t="s">
        <v>470</v>
      </c>
      <c r="K13" s="247">
        <v>0</v>
      </c>
      <c r="L13" s="246">
        <f t="shared" si="0"/>
        <v>0</v>
      </c>
      <c r="M13" s="214"/>
      <c r="N13" s="240">
        <v>0</v>
      </c>
      <c r="O13" s="240">
        <v>0</v>
      </c>
      <c r="P13" s="241"/>
      <c r="Q13" s="246">
        <f t="shared" si="1"/>
        <v>0</v>
      </c>
      <c r="R13" s="261"/>
      <c r="T13" s="51" t="b">
        <f t="shared" si="2"/>
        <v>1</v>
      </c>
    </row>
    <row r="14" spans="1:20" ht="15.75" x14ac:dyDescent="0.25">
      <c r="A14" s="209">
        <v>10</v>
      </c>
      <c r="B14" s="210" t="s">
        <v>324</v>
      </c>
      <c r="C14" s="210">
        <v>0</v>
      </c>
      <c r="D14" s="203">
        <f t="shared" si="3"/>
        <v>0</v>
      </c>
      <c r="E14" s="211">
        <v>0</v>
      </c>
      <c r="F14" s="211">
        <v>0</v>
      </c>
      <c r="G14" s="212">
        <f t="shared" si="4"/>
        <v>0</v>
      </c>
      <c r="H14" s="211">
        <v>60</v>
      </c>
      <c r="I14" s="247">
        <v>0</v>
      </c>
      <c r="J14" s="213" t="s">
        <v>471</v>
      </c>
      <c r="K14" s="247">
        <v>0</v>
      </c>
      <c r="L14" s="246">
        <f t="shared" si="0"/>
        <v>0</v>
      </c>
      <c r="M14" s="214"/>
      <c r="N14" s="240">
        <v>0</v>
      </c>
      <c r="O14" s="240">
        <v>0</v>
      </c>
      <c r="P14" s="241"/>
      <c r="Q14" s="246">
        <f t="shared" si="1"/>
        <v>0</v>
      </c>
      <c r="R14" s="261"/>
      <c r="T14" s="51" t="b">
        <f t="shared" si="2"/>
        <v>1</v>
      </c>
    </row>
    <row r="15" spans="1:20" ht="15.75" x14ac:dyDescent="0.25">
      <c r="A15" s="209">
        <v>11</v>
      </c>
      <c r="B15" s="210" t="s">
        <v>325</v>
      </c>
      <c r="C15" s="210">
        <v>0</v>
      </c>
      <c r="D15" s="203">
        <f t="shared" si="3"/>
        <v>0</v>
      </c>
      <c r="E15" s="211">
        <v>0</v>
      </c>
      <c r="F15" s="211">
        <v>0</v>
      </c>
      <c r="G15" s="212">
        <f t="shared" si="4"/>
        <v>0</v>
      </c>
      <c r="H15" s="211">
        <v>120</v>
      </c>
      <c r="I15" s="247">
        <v>0</v>
      </c>
      <c r="J15" s="213" t="s">
        <v>471</v>
      </c>
      <c r="K15" s="247">
        <v>0</v>
      </c>
      <c r="L15" s="246">
        <f t="shared" si="0"/>
        <v>0</v>
      </c>
      <c r="M15" s="214"/>
      <c r="N15" s="240">
        <v>0</v>
      </c>
      <c r="O15" s="240">
        <v>0</v>
      </c>
      <c r="P15" s="241"/>
      <c r="Q15" s="246">
        <f t="shared" si="1"/>
        <v>0</v>
      </c>
      <c r="R15" s="261"/>
      <c r="T15" s="51" t="b">
        <f t="shared" si="2"/>
        <v>1</v>
      </c>
    </row>
    <row r="16" spans="1:20" ht="15.75" x14ac:dyDescent="0.25">
      <c r="A16" s="209">
        <v>12</v>
      </c>
      <c r="B16" s="210" t="s">
        <v>326</v>
      </c>
      <c r="C16" s="210">
        <v>3</v>
      </c>
      <c r="D16" s="203">
        <f t="shared" si="3"/>
        <v>3</v>
      </c>
      <c r="E16" s="211">
        <v>1815</v>
      </c>
      <c r="F16" s="211">
        <v>11836.800000000001</v>
      </c>
      <c r="G16" s="212">
        <f t="shared" si="4"/>
        <v>2.5011543664965226E-2</v>
      </c>
      <c r="H16" s="256" t="s">
        <v>473</v>
      </c>
      <c r="I16" s="247">
        <v>219336.66666666666</v>
      </c>
      <c r="J16" s="213" t="s">
        <v>474</v>
      </c>
      <c r="K16" s="247">
        <v>65017.5</v>
      </c>
      <c r="L16" s="246">
        <f t="shared" si="0"/>
        <v>284354.16666666663</v>
      </c>
      <c r="M16" s="214">
        <f>L16/F16</f>
        <v>24.022891885194191</v>
      </c>
      <c r="N16" s="240">
        <v>0</v>
      </c>
      <c r="O16" s="240">
        <v>0</v>
      </c>
      <c r="P16" s="241"/>
      <c r="Q16" s="246">
        <f t="shared" si="1"/>
        <v>284354.16666666663</v>
      </c>
      <c r="R16" s="261">
        <f>Q16/F16</f>
        <v>24.022891885194191</v>
      </c>
      <c r="T16" s="51" t="b">
        <f t="shared" si="2"/>
        <v>1</v>
      </c>
    </row>
    <row r="17" spans="1:20" ht="15.75" x14ac:dyDescent="0.25">
      <c r="A17" s="209">
        <v>13</v>
      </c>
      <c r="B17" s="210" t="s">
        <v>327</v>
      </c>
      <c r="C17" s="210">
        <v>0</v>
      </c>
      <c r="D17" s="203">
        <f t="shared" si="3"/>
        <v>0</v>
      </c>
      <c r="E17" s="211">
        <v>0</v>
      </c>
      <c r="F17" s="211">
        <v>0</v>
      </c>
      <c r="G17" s="212">
        <f t="shared" si="4"/>
        <v>0</v>
      </c>
      <c r="H17" s="211">
        <v>60</v>
      </c>
      <c r="I17" s="247">
        <v>0</v>
      </c>
      <c r="J17" s="213" t="s">
        <v>479</v>
      </c>
      <c r="K17" s="247">
        <v>0</v>
      </c>
      <c r="L17" s="246">
        <f t="shared" si="0"/>
        <v>0</v>
      </c>
      <c r="M17" s="214"/>
      <c r="N17" s="240">
        <v>0</v>
      </c>
      <c r="O17" s="240">
        <v>0</v>
      </c>
      <c r="P17" s="241"/>
      <c r="Q17" s="246">
        <f t="shared" si="1"/>
        <v>0</v>
      </c>
      <c r="R17" s="261"/>
      <c r="T17" s="51" t="b">
        <f t="shared" si="2"/>
        <v>1</v>
      </c>
    </row>
    <row r="18" spans="1:20" ht="15.75" x14ac:dyDescent="0.25">
      <c r="A18" s="209">
        <v>14</v>
      </c>
      <c r="B18" s="210" t="s">
        <v>328</v>
      </c>
      <c r="C18" s="210">
        <v>0</v>
      </c>
      <c r="D18" s="203">
        <f t="shared" si="3"/>
        <v>0</v>
      </c>
      <c r="E18" s="211">
        <v>0</v>
      </c>
      <c r="F18" s="211">
        <v>0</v>
      </c>
      <c r="G18" s="212">
        <f t="shared" si="4"/>
        <v>0</v>
      </c>
      <c r="H18" s="211">
        <v>120</v>
      </c>
      <c r="I18" s="247">
        <v>0</v>
      </c>
      <c r="J18" s="213" t="s">
        <v>481</v>
      </c>
      <c r="K18" s="247">
        <v>0</v>
      </c>
      <c r="L18" s="246">
        <f t="shared" si="0"/>
        <v>0</v>
      </c>
      <c r="M18" s="214"/>
      <c r="N18" s="240">
        <v>0</v>
      </c>
      <c r="O18" s="240">
        <v>0</v>
      </c>
      <c r="P18" s="241"/>
      <c r="Q18" s="246">
        <f t="shared" si="1"/>
        <v>0</v>
      </c>
      <c r="R18" s="261"/>
      <c r="T18" s="51" t="b">
        <f t="shared" si="2"/>
        <v>1</v>
      </c>
    </row>
    <row r="19" spans="1:20" ht="15.75" x14ac:dyDescent="0.25">
      <c r="A19" s="209">
        <v>15</v>
      </c>
      <c r="B19" s="210" t="s">
        <v>401</v>
      </c>
      <c r="C19" s="210">
        <v>0</v>
      </c>
      <c r="D19" s="203">
        <f t="shared" si="3"/>
        <v>0</v>
      </c>
      <c r="E19" s="211">
        <v>0</v>
      </c>
      <c r="F19" s="211">
        <v>0</v>
      </c>
      <c r="G19" s="216">
        <f t="shared" si="4"/>
        <v>0</v>
      </c>
      <c r="H19" s="211">
        <v>40</v>
      </c>
      <c r="I19" s="247">
        <v>0</v>
      </c>
      <c r="J19" s="213" t="s">
        <v>483</v>
      </c>
      <c r="K19" s="247">
        <v>0</v>
      </c>
      <c r="L19" s="246">
        <f t="shared" si="0"/>
        <v>0</v>
      </c>
      <c r="M19" s="214"/>
      <c r="N19" s="240">
        <v>0</v>
      </c>
      <c r="O19" s="240">
        <v>0</v>
      </c>
      <c r="P19" s="241"/>
      <c r="Q19" s="246">
        <f t="shared" si="1"/>
        <v>0</v>
      </c>
      <c r="R19" s="261"/>
      <c r="T19" s="51" t="b">
        <f t="shared" si="2"/>
        <v>1</v>
      </c>
    </row>
    <row r="20" spans="1:20" ht="15.75" x14ac:dyDescent="0.25">
      <c r="A20" s="209">
        <v>16</v>
      </c>
      <c r="B20" s="210" t="s">
        <v>301</v>
      </c>
      <c r="C20" s="210">
        <v>0</v>
      </c>
      <c r="D20" s="203">
        <f t="shared" si="3"/>
        <v>0</v>
      </c>
      <c r="E20" s="211">
        <v>0</v>
      </c>
      <c r="F20" s="211">
        <v>0</v>
      </c>
      <c r="G20" s="212">
        <f t="shared" si="4"/>
        <v>0</v>
      </c>
      <c r="H20" s="211">
        <v>40</v>
      </c>
      <c r="I20" s="247">
        <v>0</v>
      </c>
      <c r="J20" s="213">
        <v>3.9</v>
      </c>
      <c r="K20" s="247">
        <v>0</v>
      </c>
      <c r="L20" s="246">
        <f t="shared" si="0"/>
        <v>0</v>
      </c>
      <c r="M20" s="214"/>
      <c r="N20" s="240">
        <v>0</v>
      </c>
      <c r="O20" s="240">
        <v>0</v>
      </c>
      <c r="P20" s="241"/>
      <c r="Q20" s="246">
        <f t="shared" si="1"/>
        <v>0</v>
      </c>
      <c r="R20" s="261"/>
      <c r="T20" s="51" t="b">
        <f t="shared" si="2"/>
        <v>1</v>
      </c>
    </row>
    <row r="21" spans="1:20" ht="16.5" thickBot="1" x14ac:dyDescent="0.3">
      <c r="A21" s="217">
        <v>17</v>
      </c>
      <c r="B21" s="218" t="s">
        <v>65</v>
      </c>
      <c r="C21" s="218">
        <v>2</v>
      </c>
      <c r="D21" s="203">
        <f t="shared" si="3"/>
        <v>2</v>
      </c>
      <c r="E21" s="219">
        <v>35.75</v>
      </c>
      <c r="F21" s="219">
        <v>2697</v>
      </c>
      <c r="G21" s="220">
        <f t="shared" si="4"/>
        <v>5.6988487821380109E-3</v>
      </c>
      <c r="H21" s="219">
        <v>125</v>
      </c>
      <c r="I21" s="248">
        <v>880</v>
      </c>
      <c r="J21" s="221">
        <v>6</v>
      </c>
      <c r="K21" s="248">
        <v>10518.3</v>
      </c>
      <c r="L21" s="246">
        <f t="shared" si="0"/>
        <v>11398.3</v>
      </c>
      <c r="M21" s="222">
        <f>L21/F21</f>
        <v>4.2262884686688915</v>
      </c>
      <c r="N21" s="240">
        <v>0</v>
      </c>
      <c r="O21" s="240">
        <v>0</v>
      </c>
      <c r="P21" s="242"/>
      <c r="Q21" s="246">
        <f t="shared" si="1"/>
        <v>11398.3</v>
      </c>
      <c r="R21" s="262">
        <f>Q21/F21</f>
        <v>4.2262884686688915</v>
      </c>
      <c r="T21" s="51" t="b">
        <f t="shared" si="2"/>
        <v>1</v>
      </c>
    </row>
    <row r="22" spans="1:20" ht="16.5" thickBot="1" x14ac:dyDescent="0.3">
      <c r="A22" s="224">
        <v>18</v>
      </c>
      <c r="B22" s="225" t="s">
        <v>450</v>
      </c>
      <c r="C22" s="225">
        <f>SUM(C5:C21)</f>
        <v>55</v>
      </c>
      <c r="D22" s="225">
        <f>SUM(D5:D21)</f>
        <v>55</v>
      </c>
      <c r="E22" s="225">
        <f>SUM(E5:E21)</f>
        <v>15753.197999999997</v>
      </c>
      <c r="F22" s="225">
        <f>SUM(F5:F21)</f>
        <v>473253.47681680002</v>
      </c>
      <c r="G22" s="226">
        <f t="shared" si="4"/>
        <v>1</v>
      </c>
      <c r="H22" s="227"/>
      <c r="I22" s="249">
        <f>SUM(I5:I21)</f>
        <v>2938775.5791666666</v>
      </c>
      <c r="J22" s="228"/>
      <c r="K22" s="249">
        <f>SUM(K5:K21)</f>
        <v>2823622.9511007993</v>
      </c>
      <c r="L22" s="249">
        <f>SUM(L5:L21)</f>
        <v>5762398.5302674668</v>
      </c>
      <c r="M22" s="229">
        <f>L22/F22</f>
        <v>12.176135649391403</v>
      </c>
      <c r="N22" s="243">
        <f>SUM(N5:N21)</f>
        <v>0</v>
      </c>
      <c r="O22" s="243">
        <f>SUM(O5:O21)</f>
        <v>0</v>
      </c>
      <c r="P22" s="243">
        <f>SUM(P5:P21)</f>
        <v>0</v>
      </c>
      <c r="Q22" s="243">
        <f>SUM(Q5:Q21)</f>
        <v>5762398.5302674668</v>
      </c>
      <c r="R22" s="263">
        <f>Q22/F22</f>
        <v>12.176135649391403</v>
      </c>
      <c r="T22" s="51" t="b">
        <f t="shared" si="2"/>
        <v>1</v>
      </c>
    </row>
    <row r="23" spans="1:20" ht="15.75" x14ac:dyDescent="0.25">
      <c r="A23" s="202">
        <v>19</v>
      </c>
      <c r="B23" s="203" t="s">
        <v>496</v>
      </c>
      <c r="C23" s="203">
        <v>0</v>
      </c>
      <c r="D23" s="203">
        <f t="shared" si="3"/>
        <v>0</v>
      </c>
      <c r="E23" s="203">
        <v>0</v>
      </c>
      <c r="F23" s="203">
        <v>0</v>
      </c>
      <c r="G23" s="205"/>
      <c r="H23" s="204">
        <v>300</v>
      </c>
      <c r="I23" s="246">
        <v>0</v>
      </c>
      <c r="J23" s="206">
        <v>5.8</v>
      </c>
      <c r="K23" s="246">
        <v>0</v>
      </c>
      <c r="L23" s="246">
        <f>+K23+I23</f>
        <v>0</v>
      </c>
      <c r="M23" s="207"/>
      <c r="N23" s="240">
        <v>0</v>
      </c>
      <c r="O23" s="240">
        <v>0</v>
      </c>
      <c r="P23" s="240"/>
      <c r="Q23" s="246">
        <f>+L23+N23+P23-O23</f>
        <v>0</v>
      </c>
      <c r="R23" s="260" t="s">
        <v>686</v>
      </c>
      <c r="T23" s="51" t="b">
        <f>Q23=L23+N23-O23+P23</f>
        <v>1</v>
      </c>
    </row>
    <row r="24" spans="1:20" ht="15.75" x14ac:dyDescent="0.25">
      <c r="A24" s="209">
        <v>20</v>
      </c>
      <c r="B24" s="210" t="s">
        <v>495</v>
      </c>
      <c r="C24" s="210">
        <v>0</v>
      </c>
      <c r="D24" s="203">
        <f t="shared" si="3"/>
        <v>0</v>
      </c>
      <c r="E24" s="210">
        <v>0</v>
      </c>
      <c r="F24" s="210">
        <v>0</v>
      </c>
      <c r="G24" s="212"/>
      <c r="H24" s="211">
        <v>350</v>
      </c>
      <c r="I24" s="247">
        <v>0</v>
      </c>
      <c r="J24" s="213">
        <v>5.4</v>
      </c>
      <c r="K24" s="247">
        <v>0</v>
      </c>
      <c r="L24" s="246">
        <f>+K24+I24</f>
        <v>0</v>
      </c>
      <c r="M24" s="214"/>
      <c r="N24" s="240">
        <v>0</v>
      </c>
      <c r="O24" s="240">
        <v>0</v>
      </c>
      <c r="P24" s="241"/>
      <c r="Q24" s="246">
        <f>+L24+N24+P24-O24</f>
        <v>0</v>
      </c>
      <c r="R24" s="261" t="s">
        <v>686</v>
      </c>
      <c r="T24" s="51" t="b">
        <f>Q24=L24+N24-O24+P24</f>
        <v>1</v>
      </c>
    </row>
    <row r="25" spans="1:20" ht="16.5" thickBot="1" x14ac:dyDescent="0.3">
      <c r="A25" s="217">
        <v>21</v>
      </c>
      <c r="B25" s="218" t="s">
        <v>66</v>
      </c>
      <c r="C25" s="218">
        <v>0</v>
      </c>
      <c r="D25" s="203">
        <f t="shared" si="3"/>
        <v>0</v>
      </c>
      <c r="E25" s="218">
        <v>0</v>
      </c>
      <c r="F25" s="218">
        <v>0</v>
      </c>
      <c r="G25" s="220"/>
      <c r="H25" s="219">
        <v>400</v>
      </c>
      <c r="I25" s="248">
        <v>0</v>
      </c>
      <c r="J25" s="221" t="s">
        <v>493</v>
      </c>
      <c r="K25" s="248">
        <v>0</v>
      </c>
      <c r="L25" s="246">
        <f>+K25+I25</f>
        <v>0</v>
      </c>
      <c r="M25" s="222"/>
      <c r="N25" s="240">
        <v>0</v>
      </c>
      <c r="O25" s="240">
        <v>0</v>
      </c>
      <c r="P25" s="242"/>
      <c r="Q25" s="246">
        <f>+L25+N25+P25-O25</f>
        <v>0</v>
      </c>
      <c r="R25" s="262" t="s">
        <v>686</v>
      </c>
      <c r="T25" s="51" t="b">
        <f>Q25=L25+N25-O25+P25</f>
        <v>1</v>
      </c>
    </row>
    <row r="26" spans="1:20" ht="15.75" x14ac:dyDescent="0.25">
      <c r="A26" s="231">
        <v>22</v>
      </c>
      <c r="B26" s="232" t="s">
        <v>451</v>
      </c>
      <c r="C26" s="232">
        <f>SUM(C23:C25)</f>
        <v>0</v>
      </c>
      <c r="D26" s="232">
        <f>SUM(D23:D25)</f>
        <v>0</v>
      </c>
      <c r="E26" s="232">
        <f>SUM(E23:E25)</f>
        <v>0</v>
      </c>
      <c r="F26" s="232">
        <f>SUM(F23:F25)</f>
        <v>0</v>
      </c>
      <c r="G26" s="234"/>
      <c r="H26" s="233"/>
      <c r="I26" s="250">
        <f>SUM(I23:I25)</f>
        <v>0</v>
      </c>
      <c r="J26" s="233"/>
      <c r="K26" s="250">
        <f>SUM(K23:K25)</f>
        <v>0</v>
      </c>
      <c r="L26" s="250">
        <f>SUM(L23:L25)</f>
        <v>0</v>
      </c>
      <c r="M26" s="235"/>
      <c r="N26" s="244">
        <f>SUM(N23:N25)</f>
        <v>0</v>
      </c>
      <c r="O26" s="244">
        <f>SUM(O23:O25)</f>
        <v>0</v>
      </c>
      <c r="P26" s="244">
        <f>SUM(P23:P25)</f>
        <v>0</v>
      </c>
      <c r="Q26" s="244">
        <f>SUM(Q23:Q25)</f>
        <v>0</v>
      </c>
      <c r="R26" s="264">
        <v>0</v>
      </c>
      <c r="T26" s="51" t="b">
        <f>Q26=L26+N26-O26+P26</f>
        <v>1</v>
      </c>
    </row>
    <row r="27" spans="1:20" ht="16.5" thickBot="1" x14ac:dyDescent="0.3">
      <c r="A27" s="237">
        <v>23</v>
      </c>
      <c r="B27" s="238" t="s">
        <v>358</v>
      </c>
      <c r="C27" s="238">
        <f>C22+C26</f>
        <v>55</v>
      </c>
      <c r="D27" s="238">
        <f>D22+D26</f>
        <v>55</v>
      </c>
      <c r="E27" s="238">
        <f>E22+E26</f>
        <v>15753.197999999997</v>
      </c>
      <c r="F27" s="238">
        <f>F22+F26</f>
        <v>473253.47681680002</v>
      </c>
      <c r="G27" s="238"/>
      <c r="H27" s="238"/>
      <c r="I27" s="251">
        <f>I22+I26</f>
        <v>2938775.5791666666</v>
      </c>
      <c r="J27" s="238"/>
      <c r="K27" s="251">
        <f>K22+K26</f>
        <v>2823622.9511007993</v>
      </c>
      <c r="L27" s="251">
        <f>L22+L26</f>
        <v>5762398.5302674668</v>
      </c>
      <c r="M27" s="238">
        <f>L27/F27</f>
        <v>12.176135649391403</v>
      </c>
      <c r="N27" s="245">
        <f>N22+N26</f>
        <v>0</v>
      </c>
      <c r="O27" s="245">
        <f>O22+O26</f>
        <v>0</v>
      </c>
      <c r="P27" s="245">
        <f>P22+P26</f>
        <v>0</v>
      </c>
      <c r="Q27" s="245">
        <f>Q22+Q26</f>
        <v>5762398.5302674668</v>
      </c>
      <c r="R27" s="265">
        <f>Q27/F27</f>
        <v>12.176135649391403</v>
      </c>
    </row>
    <row r="28" spans="1:20" ht="15.75" x14ac:dyDescent="0.25">
      <c r="A28" s="202">
        <v>24</v>
      </c>
      <c r="B28" s="203" t="s">
        <v>25</v>
      </c>
      <c r="C28" s="203"/>
      <c r="D28" s="203"/>
      <c r="E28" s="204"/>
      <c r="F28" s="204"/>
      <c r="G28" s="204"/>
      <c r="H28" s="204"/>
      <c r="I28" s="204"/>
      <c r="J28" s="204"/>
      <c r="K28" s="204"/>
      <c r="L28" s="204"/>
      <c r="M28" s="207"/>
      <c r="N28" s="240"/>
      <c r="O28" s="240"/>
      <c r="P28" s="240"/>
      <c r="Q28" s="240">
        <v>282362.29511007993</v>
      </c>
      <c r="R28" s="260"/>
    </row>
    <row r="29" spans="1:20" ht="15.75" x14ac:dyDescent="0.25">
      <c r="A29" s="209">
        <v>25</v>
      </c>
      <c r="B29" s="210" t="s">
        <v>26</v>
      </c>
      <c r="C29" s="210"/>
      <c r="D29" s="210"/>
      <c r="E29" s="211"/>
      <c r="F29" s="211"/>
      <c r="G29" s="211"/>
      <c r="H29" s="211"/>
      <c r="I29" s="211"/>
      <c r="J29" s="211"/>
      <c r="K29" s="211"/>
      <c r="L29" s="211"/>
      <c r="M29" s="211"/>
      <c r="N29" s="241"/>
      <c r="O29" s="241"/>
      <c r="P29" s="241"/>
      <c r="Q29" s="241">
        <f>Q27+Q28</f>
        <v>6044760.8253775463</v>
      </c>
      <c r="R29" s="261"/>
    </row>
    <row r="30" spans="1:20" ht="16.5" thickBot="1" x14ac:dyDescent="0.3">
      <c r="A30" s="217">
        <v>26</v>
      </c>
      <c r="B30" s="218" t="s">
        <v>498</v>
      </c>
      <c r="C30" s="218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42"/>
      <c r="O30" s="242"/>
      <c r="P30" s="242"/>
      <c r="Q30" s="242">
        <v>0</v>
      </c>
      <c r="R30" s="262"/>
    </row>
    <row r="31" spans="1:20" ht="16.5" thickBot="1" x14ac:dyDescent="0.3">
      <c r="A31" s="224">
        <v>27</v>
      </c>
      <c r="B31" s="225" t="s">
        <v>489</v>
      </c>
      <c r="C31" s="225"/>
      <c r="D31" s="225"/>
      <c r="E31" s="228"/>
      <c r="F31" s="228"/>
      <c r="G31" s="228"/>
      <c r="H31" s="228"/>
      <c r="I31" s="228"/>
      <c r="J31" s="228"/>
      <c r="K31" s="228"/>
      <c r="L31" s="228"/>
      <c r="M31" s="228"/>
      <c r="N31" s="243"/>
      <c r="O31" s="243"/>
      <c r="P31" s="243"/>
      <c r="Q31" s="243">
        <f>Q29-Q30</f>
        <v>6044760.8253775463</v>
      </c>
      <c r="R31" s="263"/>
    </row>
    <row r="33" spans="1:17" ht="18.75" hidden="1" thickBot="1" x14ac:dyDescent="0.3">
      <c r="P33" s="53" t="s">
        <v>497</v>
      </c>
      <c r="Q33" s="58">
        <f>Q31/10^5</f>
        <v>60.447608253775464</v>
      </c>
    </row>
    <row r="34" spans="1:17" x14ac:dyDescent="0.2">
      <c r="L34" s="52"/>
    </row>
    <row r="35" spans="1:17" x14ac:dyDescent="0.2">
      <c r="L35" s="52"/>
    </row>
    <row r="36" spans="1:17" x14ac:dyDescent="0.2">
      <c r="L36" s="52"/>
    </row>
    <row r="38" spans="1:17" ht="16.5" x14ac:dyDescent="0.3">
      <c r="A38" s="950" t="s">
        <v>723</v>
      </c>
      <c r="B38" s="951"/>
      <c r="C38" s="951"/>
      <c r="D38" s="952"/>
      <c r="E38" s="952"/>
      <c r="L38" s="953" t="s">
        <v>724</v>
      </c>
    </row>
    <row r="39" spans="1:17" ht="16.5" x14ac:dyDescent="0.3">
      <c r="A39" s="950" t="s">
        <v>725</v>
      </c>
      <c r="B39" s="951"/>
      <c r="C39" s="951"/>
      <c r="D39" s="952"/>
      <c r="E39" s="952"/>
      <c r="L39" s="954" t="s">
        <v>726</v>
      </c>
    </row>
    <row r="40" spans="1:17" ht="15.75" x14ac:dyDescent="0.25">
      <c r="A40" s="952"/>
      <c r="B40" s="952"/>
      <c r="C40" s="952"/>
      <c r="D40" s="952"/>
      <c r="E40" s="955"/>
      <c r="L40" s="952"/>
    </row>
    <row r="41" spans="1:17" ht="15.75" x14ac:dyDescent="0.25">
      <c r="A41" s="952"/>
      <c r="B41" s="952"/>
      <c r="C41" s="952"/>
      <c r="D41" s="952"/>
      <c r="E41" s="955"/>
      <c r="L41" s="952"/>
    </row>
    <row r="42" spans="1:17" ht="15.75" x14ac:dyDescent="0.25">
      <c r="A42" s="952"/>
      <c r="B42" s="952"/>
      <c r="C42" s="952"/>
      <c r="D42" s="952"/>
      <c r="E42" s="955"/>
      <c r="L42" s="952"/>
    </row>
    <row r="43" spans="1:17" ht="15.75" x14ac:dyDescent="0.25">
      <c r="A43" s="952"/>
      <c r="B43" s="952"/>
      <c r="C43" s="952"/>
      <c r="D43" s="952"/>
      <c r="E43" s="952"/>
      <c r="L43" s="952"/>
    </row>
    <row r="44" spans="1:17" ht="16.5" x14ac:dyDescent="0.3">
      <c r="A44" s="963" t="s">
        <v>731</v>
      </c>
      <c r="B44" s="956"/>
      <c r="C44" s="957"/>
      <c r="D44" s="952"/>
      <c r="E44" s="952"/>
      <c r="L44" s="958" t="s">
        <v>728</v>
      </c>
    </row>
    <row r="45" spans="1:17" ht="16.5" x14ac:dyDescent="0.3">
      <c r="A45" s="963" t="s">
        <v>732</v>
      </c>
      <c r="B45" s="959"/>
      <c r="C45" s="957"/>
      <c r="D45" s="952"/>
      <c r="E45" s="960"/>
      <c r="L45" s="958" t="s">
        <v>730</v>
      </c>
    </row>
    <row r="46" spans="1:17" ht="15.75" x14ac:dyDescent="0.25">
      <c r="A46" s="961"/>
      <c r="B46" s="961"/>
      <c r="C46" s="961"/>
      <c r="D46" s="961"/>
      <c r="E46" s="952"/>
      <c r="F46" s="952"/>
    </row>
    <row r="47" spans="1:17" ht="15.75" x14ac:dyDescent="0.25">
      <c r="A47" s="961"/>
      <c r="B47" s="961"/>
      <c r="C47" s="961"/>
      <c r="D47" s="952"/>
      <c r="E47" s="958"/>
      <c r="F47" s="952"/>
    </row>
    <row r="48" spans="1:17" ht="16.5" x14ac:dyDescent="0.3">
      <c r="A48" s="952"/>
      <c r="B48" s="961"/>
      <c r="C48" s="961"/>
      <c r="D48" s="952"/>
      <c r="E48" s="962"/>
      <c r="F48" s="952"/>
    </row>
    <row r="49" spans="2:6" ht="16.5" x14ac:dyDescent="0.3">
      <c r="B49" s="961"/>
      <c r="C49" s="961"/>
      <c r="D49" s="14"/>
      <c r="E49" s="962"/>
      <c r="F49" s="952"/>
    </row>
    <row r="50" spans="2:6" ht="15.75" x14ac:dyDescent="0.25">
      <c r="B50" s="964"/>
      <c r="C50" s="964"/>
      <c r="D50" s="964"/>
      <c r="E50" s="965"/>
      <c r="F50" s="952"/>
    </row>
  </sheetData>
  <mergeCells count="2">
    <mergeCell ref="A1:R1"/>
    <mergeCell ref="A2:R2"/>
  </mergeCells>
  <printOptions horizontalCentered="1" verticalCentered="1"/>
  <pageMargins left="0.25" right="0.25" top="0.75" bottom="0.75" header="0.3" footer="0.3"/>
  <pageSetup paperSize="9" scale="61" fitToHeight="0" orientation="landscape" r:id="rId1"/>
  <ignoredErrors>
    <ignoredError sqref="C22:F22 I22 K22:L22 Q22" formulaRange="1"/>
    <ignoredError sqref="M22" formula="1"/>
    <ignoredError sqref="N22:P22" formulaRange="1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</sheetPr>
  <dimension ref="B1:J32"/>
  <sheetViews>
    <sheetView topLeftCell="A16" workbookViewId="0">
      <selection activeCell="B2" sqref="B2:F27"/>
    </sheetView>
  </sheetViews>
  <sheetFormatPr defaultRowHeight="15" x14ac:dyDescent="0.25"/>
  <cols>
    <col min="2" max="2" width="5.5703125" bestFit="1" customWidth="1"/>
    <col min="3" max="3" width="52.85546875" bestFit="1" customWidth="1"/>
    <col min="4" max="4" width="9.5703125" bestFit="1" customWidth="1"/>
    <col min="5" max="5" width="12" customWidth="1"/>
    <col min="6" max="6" width="9.5703125" bestFit="1" customWidth="1"/>
  </cols>
  <sheetData>
    <row r="1" spans="2:10" ht="15.75" thickBot="1" x14ac:dyDescent="0.3"/>
    <row r="2" spans="2:10" ht="17.25" thickBot="1" x14ac:dyDescent="0.35">
      <c r="B2" s="1000" t="s">
        <v>501</v>
      </c>
      <c r="C2" s="1001"/>
      <c r="D2" s="1001"/>
      <c r="E2" s="1001"/>
      <c r="F2" s="1002"/>
    </row>
    <row r="3" spans="2:10" ht="16.5" thickBot="1" x14ac:dyDescent="0.3">
      <c r="B3" s="1003" t="s">
        <v>359</v>
      </c>
      <c r="C3" s="1004"/>
      <c r="D3" s="1004"/>
      <c r="E3" s="1004"/>
      <c r="F3" s="1005"/>
    </row>
    <row r="4" spans="2:10" ht="16.5" thickBot="1" x14ac:dyDescent="0.3">
      <c r="B4" s="1006" t="s">
        <v>502</v>
      </c>
      <c r="C4" s="1007"/>
      <c r="D4" s="1007"/>
      <c r="E4" s="1007"/>
      <c r="F4" s="1008"/>
    </row>
    <row r="5" spans="2:10" ht="16.5" x14ac:dyDescent="0.25">
      <c r="B5" s="1009" t="s">
        <v>27</v>
      </c>
      <c r="C5" s="1011" t="s">
        <v>1</v>
      </c>
      <c r="D5" s="387" t="s">
        <v>402</v>
      </c>
      <c r="E5" s="387" t="s">
        <v>402</v>
      </c>
      <c r="F5" s="387" t="s">
        <v>392</v>
      </c>
    </row>
    <row r="6" spans="2:10" ht="33" x14ac:dyDescent="0.25">
      <c r="B6" s="1010"/>
      <c r="C6" s="1012"/>
      <c r="D6" s="388" t="s">
        <v>3</v>
      </c>
      <c r="E6" s="401" t="s">
        <v>687</v>
      </c>
      <c r="F6" s="389" t="s">
        <v>3</v>
      </c>
    </row>
    <row r="7" spans="2:10" ht="17.25" thickBot="1" x14ac:dyDescent="0.35">
      <c r="B7" s="390">
        <v>1</v>
      </c>
      <c r="C7" s="391">
        <v>2</v>
      </c>
      <c r="D7" s="391">
        <v>3</v>
      </c>
      <c r="E7" s="391">
        <v>4</v>
      </c>
      <c r="F7" s="392">
        <v>5</v>
      </c>
    </row>
    <row r="8" spans="2:10" ht="15.75" x14ac:dyDescent="0.25">
      <c r="B8" s="393">
        <v>1</v>
      </c>
      <c r="C8" s="394" t="s">
        <v>28</v>
      </c>
      <c r="D8" s="376">
        <v>0</v>
      </c>
      <c r="E8" s="376">
        <v>13.98</v>
      </c>
      <c r="F8" s="377">
        <v>0</v>
      </c>
      <c r="H8" s="56" t="s">
        <v>503</v>
      </c>
      <c r="I8" s="24"/>
      <c r="J8" s="24"/>
    </row>
    <row r="9" spans="2:10" ht="31.5" x14ac:dyDescent="0.25">
      <c r="B9" s="395">
        <v>2</v>
      </c>
      <c r="C9" s="396" t="s">
        <v>500</v>
      </c>
      <c r="D9" s="378">
        <v>67.629519999999999</v>
      </c>
      <c r="E9" s="378">
        <v>32</v>
      </c>
      <c r="F9" s="379">
        <v>56.816029999999998</v>
      </c>
      <c r="H9" s="57"/>
    </row>
    <row r="10" spans="2:10" ht="15.75" x14ac:dyDescent="0.25">
      <c r="B10" s="395">
        <v>3</v>
      </c>
      <c r="C10" s="397" t="s">
        <v>29</v>
      </c>
      <c r="D10" s="378">
        <v>2.6071399999999998</v>
      </c>
      <c r="E10" s="378">
        <v>0.5</v>
      </c>
      <c r="F10" s="379">
        <v>2.1337250000000001</v>
      </c>
      <c r="H10" s="57"/>
    </row>
    <row r="11" spans="2:10" ht="15.75" x14ac:dyDescent="0.25">
      <c r="B11" s="395">
        <v>4</v>
      </c>
      <c r="C11" s="397" t="s">
        <v>30</v>
      </c>
      <c r="D11" s="378">
        <f>+([2]Surcharge!$G$34+'[2]Sec 5 A'!$G$21+[2]Sec4!$M$22+[1]Surcharge!$G$30+'[1]Sec 5 A'!$G$50+[1]Sec4!$M$22)/100000</f>
        <v>3.3838756831850008</v>
      </c>
      <c r="E11" s="378"/>
      <c r="F11" s="379"/>
      <c r="H11" s="56" t="s">
        <v>504</v>
      </c>
      <c r="I11" s="24"/>
      <c r="J11" s="24"/>
    </row>
    <row r="12" spans="2:10" ht="15.75" x14ac:dyDescent="0.25">
      <c r="B12" s="395">
        <v>5</v>
      </c>
      <c r="C12" s="397" t="s">
        <v>31</v>
      </c>
      <c r="D12" s="378">
        <v>0</v>
      </c>
      <c r="E12" s="378">
        <v>0</v>
      </c>
      <c r="F12" s="379">
        <v>0</v>
      </c>
    </row>
    <row r="13" spans="2:10" ht="15.75" x14ac:dyDescent="0.25">
      <c r="B13" s="395">
        <v>6</v>
      </c>
      <c r="C13" s="397" t="s">
        <v>32</v>
      </c>
      <c r="D13" s="380">
        <v>19.40128</v>
      </c>
      <c r="E13" s="380">
        <v>0</v>
      </c>
      <c r="F13" s="381">
        <v>11.725390000000001</v>
      </c>
    </row>
    <row r="14" spans="2:10" ht="16.5" thickBot="1" x14ac:dyDescent="0.3">
      <c r="B14" s="398">
        <v>7</v>
      </c>
      <c r="C14" s="399" t="s">
        <v>33</v>
      </c>
      <c r="D14" s="382">
        <v>4.3368399999999996</v>
      </c>
      <c r="E14" s="382"/>
      <c r="F14" s="383">
        <v>0</v>
      </c>
    </row>
    <row r="15" spans="2:10" ht="17.25" thickBot="1" x14ac:dyDescent="0.35">
      <c r="B15" s="384"/>
      <c r="C15" s="400" t="s">
        <v>22</v>
      </c>
      <c r="D15" s="385">
        <f>SUM(D8:D14)</f>
        <v>97.358655683184992</v>
      </c>
      <c r="E15" s="386">
        <f>SUM(E8:E14)</f>
        <v>46.480000000000004</v>
      </c>
      <c r="F15" s="386">
        <f>SUM(F8:F14)</f>
        <v>70.675145000000001</v>
      </c>
    </row>
    <row r="16" spans="2:10" x14ac:dyDescent="0.25">
      <c r="D16" s="55"/>
    </row>
    <row r="20" spans="2:7" ht="16.5" x14ac:dyDescent="0.3">
      <c r="B20" s="934" t="s">
        <v>723</v>
      </c>
      <c r="C20" s="935"/>
      <c r="D20" s="935"/>
      <c r="E20" s="7"/>
      <c r="F20" s="936" t="s">
        <v>724</v>
      </c>
    </row>
    <row r="21" spans="2:7" ht="16.5" x14ac:dyDescent="0.3">
      <c r="B21" s="934" t="s">
        <v>725</v>
      </c>
      <c r="C21" s="935"/>
      <c r="D21" s="935"/>
      <c r="E21" s="7"/>
      <c r="F21" s="937" t="s">
        <v>726</v>
      </c>
    </row>
    <row r="22" spans="2:7" x14ac:dyDescent="0.25">
      <c r="B22" s="7"/>
      <c r="C22" s="7"/>
      <c r="D22" s="7"/>
      <c r="E22" s="7"/>
      <c r="F22" s="7"/>
    </row>
    <row r="23" spans="2:7" x14ac:dyDescent="0.25">
      <c r="B23" s="7"/>
      <c r="C23" s="7"/>
      <c r="D23" s="7"/>
      <c r="E23" s="7"/>
      <c r="F23" s="7"/>
    </row>
    <row r="24" spans="2:7" x14ac:dyDescent="0.25">
      <c r="B24" s="7"/>
      <c r="C24" s="7"/>
      <c r="D24" s="7"/>
      <c r="E24" s="7"/>
      <c r="F24" s="7"/>
    </row>
    <row r="25" spans="2:7" x14ac:dyDescent="0.25">
      <c r="B25" s="7"/>
      <c r="C25" s="7"/>
      <c r="D25" s="7"/>
      <c r="E25" s="7"/>
      <c r="F25" s="7"/>
    </row>
    <row r="26" spans="2:7" x14ac:dyDescent="0.25">
      <c r="B26" s="946" t="s">
        <v>731</v>
      </c>
      <c r="C26" s="939"/>
      <c r="D26" s="940"/>
      <c r="E26" s="7"/>
      <c r="F26" s="941" t="s">
        <v>728</v>
      </c>
    </row>
    <row r="27" spans="2:7" x14ac:dyDescent="0.25">
      <c r="B27" s="946" t="s">
        <v>732</v>
      </c>
      <c r="C27" s="942"/>
      <c r="D27" s="940"/>
      <c r="E27" s="7"/>
      <c r="F27" s="941" t="s">
        <v>730</v>
      </c>
    </row>
    <row r="28" spans="2:7" x14ac:dyDescent="0.25">
      <c r="B28" s="944"/>
      <c r="C28" s="944"/>
      <c r="D28" s="944"/>
      <c r="E28" s="944"/>
      <c r="F28" s="7"/>
      <c r="G28" s="7"/>
    </row>
    <row r="29" spans="2:7" x14ac:dyDescent="0.25">
      <c r="B29" s="944"/>
      <c r="C29" s="944"/>
      <c r="D29" s="944"/>
      <c r="E29" s="7"/>
      <c r="F29" s="941"/>
      <c r="G29" s="7"/>
    </row>
    <row r="30" spans="2:7" ht="15.75" x14ac:dyDescent="0.3">
      <c r="B30" s="7"/>
      <c r="C30" s="944"/>
      <c r="D30" s="944"/>
      <c r="E30" s="7"/>
      <c r="F30" s="945"/>
      <c r="G30" s="7"/>
    </row>
    <row r="31" spans="2:7" ht="15.75" x14ac:dyDescent="0.3">
      <c r="C31" s="944"/>
      <c r="D31" s="944"/>
      <c r="E31" s="947"/>
      <c r="F31" s="945"/>
      <c r="G31" s="7"/>
    </row>
    <row r="32" spans="2:7" x14ac:dyDescent="0.25">
      <c r="C32" s="948"/>
      <c r="D32" s="948"/>
      <c r="E32" s="948"/>
      <c r="F32" s="949"/>
      <c r="G32" s="7"/>
    </row>
  </sheetData>
  <mergeCells count="5">
    <mergeCell ref="B2:F2"/>
    <mergeCell ref="B3:F3"/>
    <mergeCell ref="B4:F4"/>
    <mergeCell ref="B5:B6"/>
    <mergeCell ref="C5:C6"/>
  </mergeCells>
  <phoneticPr fontId="19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G31"/>
  <sheetViews>
    <sheetView zoomScaleNormal="100" workbookViewId="0">
      <selection sqref="A1:E26"/>
    </sheetView>
  </sheetViews>
  <sheetFormatPr defaultRowHeight="14.25" x14ac:dyDescent="0.2"/>
  <cols>
    <col min="1" max="1" width="9.42578125" style="25" bestFit="1" customWidth="1"/>
    <col min="2" max="2" width="63.5703125" style="25" customWidth="1"/>
    <col min="3" max="4" width="13.42578125" style="25" bestFit="1" customWidth="1"/>
    <col min="5" max="5" width="14.5703125" style="25" customWidth="1"/>
    <col min="6" max="16384" width="9.140625" style="25"/>
  </cols>
  <sheetData>
    <row r="1" spans="1:7" ht="16.5" x14ac:dyDescent="0.3">
      <c r="A1" s="1018" t="s">
        <v>508</v>
      </c>
      <c r="B1" s="1019"/>
      <c r="C1" s="1019"/>
      <c r="D1" s="1019"/>
      <c r="E1" s="1020"/>
    </row>
    <row r="2" spans="1:7" ht="15.75" x14ac:dyDescent="0.25">
      <c r="A2" s="1015" t="s">
        <v>290</v>
      </c>
      <c r="B2" s="1016"/>
      <c r="C2" s="1016"/>
      <c r="D2" s="1016"/>
      <c r="E2" s="1017"/>
    </row>
    <row r="3" spans="1:7" ht="15.75" x14ac:dyDescent="0.25">
      <c r="A3" s="1021" t="s">
        <v>509</v>
      </c>
      <c r="B3" s="1022"/>
      <c r="C3" s="1022"/>
      <c r="D3" s="1022"/>
      <c r="E3" s="1023"/>
    </row>
    <row r="4" spans="1:7" ht="16.5" x14ac:dyDescent="0.2">
      <c r="A4" s="1013" t="s">
        <v>27</v>
      </c>
      <c r="B4" s="1014" t="s">
        <v>1</v>
      </c>
      <c r="C4" s="401" t="s">
        <v>402</v>
      </c>
      <c r="D4" s="401" t="s">
        <v>402</v>
      </c>
      <c r="E4" s="402" t="s">
        <v>392</v>
      </c>
    </row>
    <row r="5" spans="1:7" ht="16.5" x14ac:dyDescent="0.2">
      <c r="A5" s="1013"/>
      <c r="B5" s="1014"/>
      <c r="C5" s="388" t="s">
        <v>3</v>
      </c>
      <c r="D5" s="388" t="s">
        <v>170</v>
      </c>
      <c r="E5" s="389" t="s">
        <v>3</v>
      </c>
    </row>
    <row r="6" spans="1:7" ht="15.75" x14ac:dyDescent="0.2">
      <c r="A6" s="403">
        <v>1</v>
      </c>
      <c r="B6" s="404">
        <v>2</v>
      </c>
      <c r="C6" s="404">
        <v>3</v>
      </c>
      <c r="D6" s="404">
        <v>4</v>
      </c>
      <c r="E6" s="405">
        <v>5</v>
      </c>
    </row>
    <row r="7" spans="1:7" ht="31.5" x14ac:dyDescent="0.25">
      <c r="A7" s="406">
        <v>1</v>
      </c>
      <c r="B7" s="407" t="s">
        <v>35</v>
      </c>
      <c r="C7" s="408">
        <v>0</v>
      </c>
      <c r="D7" s="210"/>
      <c r="E7" s="409"/>
    </row>
    <row r="8" spans="1:7" ht="15.75" x14ac:dyDescent="0.25">
      <c r="A8" s="406">
        <v>2</v>
      </c>
      <c r="B8" s="407" t="s">
        <v>36</v>
      </c>
      <c r="C8" s="408">
        <v>0</v>
      </c>
      <c r="D8" s="210"/>
      <c r="E8" s="409"/>
    </row>
    <row r="9" spans="1:7" ht="31.5" x14ac:dyDescent="0.25">
      <c r="A9" s="395">
        <v>3</v>
      </c>
      <c r="B9" s="410" t="s">
        <v>37</v>
      </c>
      <c r="C9" s="408">
        <v>2032.19</v>
      </c>
      <c r="D9" s="210"/>
      <c r="E9" s="409">
        <v>7540</v>
      </c>
      <c r="G9" s="26" t="s">
        <v>510</v>
      </c>
    </row>
    <row r="10" spans="1:7" ht="31.5" x14ac:dyDescent="0.25">
      <c r="A10" s="395">
        <v>4</v>
      </c>
      <c r="B10" s="410" t="s">
        <v>38</v>
      </c>
      <c r="C10" s="210"/>
      <c r="D10" s="210"/>
      <c r="E10" s="345"/>
    </row>
    <row r="11" spans="1:7" ht="15.75" x14ac:dyDescent="0.25">
      <c r="A11" s="395">
        <v>5</v>
      </c>
      <c r="B11" s="411" t="s">
        <v>39</v>
      </c>
      <c r="C11" s="408"/>
      <c r="D11" s="210"/>
      <c r="E11" s="409"/>
    </row>
    <row r="12" spans="1:7" ht="15.75" x14ac:dyDescent="0.25">
      <c r="A12" s="412"/>
      <c r="B12" s="413" t="s">
        <v>34</v>
      </c>
      <c r="C12" s="414">
        <f>SUM(C7:C11)</f>
        <v>2032.19</v>
      </c>
      <c r="D12" s="415">
        <v>0</v>
      </c>
      <c r="E12" s="416">
        <f>SUM(E7:E11)</f>
        <v>7540</v>
      </c>
    </row>
    <row r="13" spans="1:7" ht="17.25" thickBot="1" x14ac:dyDescent="0.35">
      <c r="A13" s="417"/>
      <c r="B13" s="418" t="s">
        <v>40</v>
      </c>
      <c r="C13" s="419">
        <f>+C12</f>
        <v>2032.19</v>
      </c>
      <c r="D13" s="420">
        <f>+D12</f>
        <v>0</v>
      </c>
      <c r="E13" s="421">
        <f>+E12</f>
        <v>7540</v>
      </c>
    </row>
    <row r="19" spans="1:5" ht="16.5" x14ac:dyDescent="0.3">
      <c r="A19" s="934" t="s">
        <v>723</v>
      </c>
      <c r="B19" s="935"/>
      <c r="C19" s="935"/>
      <c r="D19" s="7"/>
      <c r="E19" s="936" t="s">
        <v>724</v>
      </c>
    </row>
    <row r="20" spans="1:5" ht="16.5" x14ac:dyDescent="0.3">
      <c r="A20" s="934" t="s">
        <v>725</v>
      </c>
      <c r="B20" s="935"/>
      <c r="C20" s="935"/>
      <c r="D20" s="7"/>
      <c r="E20" s="937" t="s">
        <v>726</v>
      </c>
    </row>
    <row r="21" spans="1:5" ht="15" x14ac:dyDescent="0.25">
      <c r="A21" s="7"/>
      <c r="B21" s="7"/>
      <c r="C21" s="7"/>
      <c r="D21" s="7"/>
      <c r="E21" s="7"/>
    </row>
    <row r="22" spans="1:5" ht="15" x14ac:dyDescent="0.25">
      <c r="A22" s="7"/>
      <c r="B22" s="7"/>
      <c r="C22" s="7"/>
      <c r="D22" s="7"/>
      <c r="E22" s="7"/>
    </row>
    <row r="23" spans="1:5" ht="15" x14ac:dyDescent="0.25">
      <c r="A23" s="7"/>
      <c r="B23" s="7"/>
      <c r="C23" s="7"/>
      <c r="D23" s="7"/>
      <c r="E23" s="7"/>
    </row>
    <row r="24" spans="1:5" ht="15" x14ac:dyDescent="0.25">
      <c r="A24" s="7"/>
      <c r="B24" s="7"/>
      <c r="C24" s="7"/>
      <c r="D24" s="7"/>
      <c r="E24" s="7"/>
    </row>
    <row r="25" spans="1:5" ht="15" x14ac:dyDescent="0.25">
      <c r="A25" s="946" t="s">
        <v>731</v>
      </c>
      <c r="B25" s="939"/>
      <c r="C25" s="940"/>
      <c r="D25" s="7"/>
      <c r="E25" s="941" t="s">
        <v>728</v>
      </c>
    </row>
    <row r="26" spans="1:5" ht="15" x14ac:dyDescent="0.25">
      <c r="A26" s="946" t="s">
        <v>732</v>
      </c>
      <c r="B26" s="942"/>
      <c r="C26" s="940"/>
      <c r="D26" s="7"/>
      <c r="E26" s="941" t="s">
        <v>730</v>
      </c>
    </row>
    <row r="27" spans="1:5" ht="15" x14ac:dyDescent="0.25">
      <c r="A27" s="944"/>
      <c r="B27" s="944"/>
      <c r="C27" s="944"/>
      <c r="D27" s="944"/>
      <c r="E27" s="7"/>
    </row>
    <row r="28" spans="1:5" ht="15" x14ac:dyDescent="0.25">
      <c r="A28" s="944"/>
      <c r="B28" s="944"/>
      <c r="C28" s="944"/>
      <c r="D28" s="7"/>
      <c r="E28" s="941"/>
    </row>
    <row r="29" spans="1:5" ht="15.75" x14ac:dyDescent="0.3">
      <c r="A29" s="7"/>
      <c r="B29" s="944"/>
      <c r="C29" s="944"/>
      <c r="D29" s="7"/>
      <c r="E29" s="945"/>
    </row>
    <row r="30" spans="1:5" ht="15.75" x14ac:dyDescent="0.3">
      <c r="B30" s="944"/>
      <c r="C30" s="944"/>
      <c r="D30" s="947"/>
      <c r="E30" s="945"/>
    </row>
    <row r="31" spans="1:5" x14ac:dyDescent="0.2">
      <c r="B31" s="948"/>
      <c r="C31" s="948"/>
      <c r="D31" s="948"/>
      <c r="E31" s="949"/>
    </row>
  </sheetData>
  <mergeCells count="5">
    <mergeCell ref="A4:A5"/>
    <mergeCell ref="B4:B5"/>
    <mergeCell ref="A2:E2"/>
    <mergeCell ref="A1:E1"/>
    <mergeCell ref="A3:E3"/>
  </mergeCells>
  <pageMargins left="0.7" right="0.7" top="0.75" bottom="0.75" header="0.3" footer="0.3"/>
  <pageSetup scale="79" orientation="portrait" r:id="rId1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B1:O33"/>
  <sheetViews>
    <sheetView topLeftCell="A2" zoomScale="85" zoomScaleNormal="85" workbookViewId="0">
      <selection activeCell="B2" sqref="B2:M28"/>
    </sheetView>
  </sheetViews>
  <sheetFormatPr defaultRowHeight="15" x14ac:dyDescent="0.25"/>
  <cols>
    <col min="2" max="2" width="22.140625" bestFit="1" customWidth="1"/>
    <col min="4" max="4" width="10.28515625" bestFit="1" customWidth="1"/>
    <col min="5" max="5" width="12" customWidth="1"/>
    <col min="6" max="7" width="9.42578125" bestFit="1" customWidth="1"/>
    <col min="8" max="8" width="11.28515625" bestFit="1" customWidth="1"/>
    <col min="9" max="10" width="9.28515625" bestFit="1" customWidth="1"/>
    <col min="11" max="11" width="11.28515625" bestFit="1" customWidth="1"/>
    <col min="12" max="12" width="9.28515625" bestFit="1" customWidth="1"/>
    <col min="13" max="13" width="10.42578125" bestFit="1" customWidth="1"/>
  </cols>
  <sheetData>
    <row r="1" spans="2:15" ht="15.75" thickBot="1" x14ac:dyDescent="0.3"/>
    <row r="2" spans="2:15" ht="17.25" thickBot="1" x14ac:dyDescent="0.3">
      <c r="B2" s="1024" t="s">
        <v>531</v>
      </c>
      <c r="C2" s="1025"/>
      <c r="D2" s="1025"/>
      <c r="E2" s="1025"/>
      <c r="F2" s="1025"/>
      <c r="G2" s="1025"/>
      <c r="H2" s="1025"/>
      <c r="I2" s="1025"/>
      <c r="J2" s="1025"/>
      <c r="K2" s="1025"/>
      <c r="L2" s="1025"/>
      <c r="M2" s="1026"/>
    </row>
    <row r="3" spans="2:15" ht="16.5" thickBot="1" x14ac:dyDescent="0.3">
      <c r="B3" s="1027" t="s">
        <v>306</v>
      </c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9"/>
    </row>
    <row r="4" spans="2:15" ht="15.75" x14ac:dyDescent="0.25">
      <c r="B4" s="1030" t="s">
        <v>302</v>
      </c>
      <c r="C4" s="1031"/>
      <c r="D4" s="1031"/>
      <c r="E4" s="1031"/>
      <c r="F4" s="1031"/>
      <c r="G4" s="1031"/>
      <c r="H4" s="1031"/>
      <c r="I4" s="1031"/>
      <c r="J4" s="1031"/>
      <c r="K4" s="1031"/>
      <c r="L4" s="1031"/>
      <c r="M4" s="1032"/>
    </row>
    <row r="5" spans="2:15" ht="84" x14ac:dyDescent="0.25">
      <c r="B5" s="336" t="s">
        <v>511</v>
      </c>
      <c r="C5" s="337" t="s">
        <v>512</v>
      </c>
      <c r="D5" s="337" t="s">
        <v>513</v>
      </c>
      <c r="E5" s="337" t="s">
        <v>514</v>
      </c>
      <c r="F5" s="337" t="s">
        <v>515</v>
      </c>
      <c r="G5" s="338" t="s">
        <v>516</v>
      </c>
      <c r="H5" s="338" t="s">
        <v>517</v>
      </c>
      <c r="I5" s="337" t="s">
        <v>518</v>
      </c>
      <c r="J5" s="338" t="s">
        <v>519</v>
      </c>
      <c r="K5" s="337" t="s">
        <v>520</v>
      </c>
      <c r="L5" s="337" t="s">
        <v>521</v>
      </c>
      <c r="M5" s="339" t="s">
        <v>2</v>
      </c>
    </row>
    <row r="6" spans="2:15" ht="14.25" customHeight="1" x14ac:dyDescent="0.25">
      <c r="B6" s="340"/>
      <c r="C6" s="341"/>
      <c r="D6" s="342" t="s">
        <v>391</v>
      </c>
      <c r="E6" s="342" t="s">
        <v>391</v>
      </c>
      <c r="F6" s="342" t="s">
        <v>522</v>
      </c>
      <c r="G6" s="342" t="s">
        <v>497</v>
      </c>
      <c r="H6" s="342" t="s">
        <v>497</v>
      </c>
      <c r="I6" s="342" t="s">
        <v>497</v>
      </c>
      <c r="J6" s="342" t="s">
        <v>497</v>
      </c>
      <c r="K6" s="342" t="s">
        <v>497</v>
      </c>
      <c r="L6" s="342" t="s">
        <v>523</v>
      </c>
      <c r="M6" s="339"/>
    </row>
    <row r="7" spans="2:15" ht="16.5" x14ac:dyDescent="0.25">
      <c r="B7" s="336">
        <v>1</v>
      </c>
      <c r="C7" s="337">
        <v>2</v>
      </c>
      <c r="D7" s="337">
        <v>3</v>
      </c>
      <c r="E7" s="337">
        <v>4</v>
      </c>
      <c r="F7" s="337">
        <v>5</v>
      </c>
      <c r="G7" s="337">
        <v>6</v>
      </c>
      <c r="H7" s="337">
        <v>7</v>
      </c>
      <c r="I7" s="337">
        <v>8</v>
      </c>
      <c r="J7" s="337">
        <v>9</v>
      </c>
      <c r="K7" s="337">
        <v>10</v>
      </c>
      <c r="L7" s="337">
        <v>11</v>
      </c>
      <c r="M7" s="337">
        <v>12</v>
      </c>
    </row>
    <row r="8" spans="2:15" ht="15.75" x14ac:dyDescent="0.25">
      <c r="B8" s="343" t="s">
        <v>524</v>
      </c>
      <c r="C8" s="344" t="s">
        <v>288</v>
      </c>
      <c r="D8" s="247">
        <v>15000</v>
      </c>
      <c r="E8" s="247">
        <v>170139</v>
      </c>
      <c r="F8" s="241">
        <v>619.42499999999995</v>
      </c>
      <c r="G8" s="241">
        <v>512.12099999999998</v>
      </c>
      <c r="H8" s="241">
        <v>3210.1965749999999</v>
      </c>
      <c r="I8" s="365">
        <v>0</v>
      </c>
      <c r="J8" s="365">
        <v>0</v>
      </c>
      <c r="K8" s="241">
        <f>+G8+H8+J8+I8</f>
        <v>3722.317575</v>
      </c>
      <c r="L8" s="241">
        <f>K8/F8</f>
        <v>6.00931117568713</v>
      </c>
      <c r="M8" s="345" t="s">
        <v>3</v>
      </c>
    </row>
    <row r="9" spans="2:15" ht="15.75" x14ac:dyDescent="0.25">
      <c r="B9" s="343" t="s">
        <v>525</v>
      </c>
      <c r="C9" s="344" t="s">
        <v>288</v>
      </c>
      <c r="D9" s="247">
        <v>5000</v>
      </c>
      <c r="E9" s="367">
        <v>62831</v>
      </c>
      <c r="F9" s="364">
        <v>243.14924999999999</v>
      </c>
      <c r="G9" s="364">
        <v>192.768</v>
      </c>
      <c r="H9" s="364">
        <v>1260.2958000000001</v>
      </c>
      <c r="I9" s="365">
        <v>0</v>
      </c>
      <c r="J9" s="365">
        <v>0</v>
      </c>
      <c r="K9" s="241">
        <f>+G9+H9+J9+I9</f>
        <v>1453.0638000000001</v>
      </c>
      <c r="L9" s="241">
        <f>K9/F9</f>
        <v>5.9760159655026701</v>
      </c>
      <c r="M9" s="345" t="s">
        <v>3</v>
      </c>
    </row>
    <row r="10" spans="2:15" ht="15.75" x14ac:dyDescent="0.25">
      <c r="B10" s="346" t="s">
        <v>526</v>
      </c>
      <c r="C10" s="344" t="s">
        <v>288</v>
      </c>
      <c r="D10" s="247">
        <v>100</v>
      </c>
      <c r="E10" s="347">
        <f>+[3]Kollam!$J$19</f>
        <v>900</v>
      </c>
      <c r="F10" s="241">
        <v>0.64870000000000005</v>
      </c>
      <c r="G10" s="241">
        <v>3.6</v>
      </c>
      <c r="H10" s="241">
        <v>4.0968200000000001</v>
      </c>
      <c r="I10" s="241">
        <v>1.538</v>
      </c>
      <c r="J10" s="365">
        <v>0.42589950000000004</v>
      </c>
      <c r="K10" s="241">
        <f>+G10+H10+J10+I10</f>
        <v>9.6607195000000008</v>
      </c>
      <c r="L10" s="241">
        <f>K10/F10</f>
        <v>14.892430245105595</v>
      </c>
      <c r="M10" s="345" t="s">
        <v>3</v>
      </c>
    </row>
    <row r="11" spans="2:15" ht="15.75" x14ac:dyDescent="0.25">
      <c r="B11" s="346" t="s">
        <v>527</v>
      </c>
      <c r="C11" s="344" t="s">
        <v>288</v>
      </c>
      <c r="D11" s="247">
        <v>1600</v>
      </c>
      <c r="E11" s="347">
        <f>+[3]Kollam!$J$37</f>
        <v>14400</v>
      </c>
      <c r="F11" s="241">
        <v>5.10372</v>
      </c>
      <c r="G11" s="241">
        <v>43.2</v>
      </c>
      <c r="H11" s="241">
        <v>29.620360000000002</v>
      </c>
      <c r="I11" s="364">
        <v>-0.56213000000000002</v>
      </c>
      <c r="J11" s="365">
        <v>0.637965</v>
      </c>
      <c r="K11" s="241">
        <f>+G11+H11+J11+I11</f>
        <v>72.896195000000006</v>
      </c>
      <c r="L11" s="241">
        <f>K11/F11</f>
        <v>14.282953414372264</v>
      </c>
      <c r="M11" s="345" t="s">
        <v>3</v>
      </c>
    </row>
    <row r="12" spans="2:15" ht="15.75" x14ac:dyDescent="0.25">
      <c r="B12" s="348" t="s">
        <v>67</v>
      </c>
      <c r="C12" s="349"/>
      <c r="D12" s="350"/>
      <c r="E12" s="368">
        <f t="shared" ref="E12:J12" si="0">SUM(E8:E11)</f>
        <v>248270</v>
      </c>
      <c r="F12" s="366">
        <f t="shared" si="0"/>
        <v>868.32666999999981</v>
      </c>
      <c r="G12" s="366">
        <f t="shared" si="0"/>
        <v>751.68900000000008</v>
      </c>
      <c r="H12" s="366">
        <f t="shared" si="0"/>
        <v>4504.2095549999995</v>
      </c>
      <c r="I12" s="366">
        <f t="shared" si="0"/>
        <v>0.97587000000000002</v>
      </c>
      <c r="J12" s="366">
        <f t="shared" si="0"/>
        <v>1.0638645</v>
      </c>
      <c r="K12" s="366">
        <f>SUM(K8:K11)</f>
        <v>5257.9382894999999</v>
      </c>
      <c r="L12" s="366">
        <f>K12/F12</f>
        <v>6.0552537094133028</v>
      </c>
      <c r="M12" s="339"/>
    </row>
    <row r="13" spans="2:15" ht="15.75" x14ac:dyDescent="0.25">
      <c r="B13" s="351" t="s">
        <v>528</v>
      </c>
      <c r="C13" s="210"/>
      <c r="D13" s="210"/>
      <c r="E13" s="347"/>
      <c r="F13" s="352"/>
      <c r="G13" s="352"/>
      <c r="H13" s="352"/>
      <c r="I13" s="352"/>
      <c r="J13" s="352"/>
      <c r="K13" s="353">
        <f>0</f>
        <v>0</v>
      </c>
      <c r="L13" s="354"/>
      <c r="M13" s="345"/>
      <c r="O13" s="24" t="s">
        <v>548</v>
      </c>
    </row>
    <row r="14" spans="2:15" ht="16.5" x14ac:dyDescent="0.3">
      <c r="B14" s="355" t="s">
        <v>520</v>
      </c>
      <c r="C14" s="356"/>
      <c r="D14" s="356"/>
      <c r="E14" s="371">
        <f>E12+E13</f>
        <v>248270</v>
      </c>
      <c r="F14" s="370">
        <f t="shared" ref="F14:K14" si="1">F12+F13</f>
        <v>868.32666999999981</v>
      </c>
      <c r="G14" s="369">
        <f t="shared" si="1"/>
        <v>751.68900000000008</v>
      </c>
      <c r="H14" s="369">
        <f t="shared" si="1"/>
        <v>4504.2095549999995</v>
      </c>
      <c r="I14" s="369">
        <f t="shared" si="1"/>
        <v>0.97587000000000002</v>
      </c>
      <c r="J14" s="369">
        <f t="shared" si="1"/>
        <v>1.0638645</v>
      </c>
      <c r="K14" s="369">
        <f t="shared" si="1"/>
        <v>5257.9382894999999</v>
      </c>
      <c r="L14" s="366">
        <f>K14/F14</f>
        <v>6.0552537094133028</v>
      </c>
      <c r="M14" s="357"/>
    </row>
    <row r="15" spans="2:15" ht="16.5" x14ac:dyDescent="0.3">
      <c r="B15" s="358" t="s">
        <v>529</v>
      </c>
      <c r="C15" s="359"/>
      <c r="D15" s="359"/>
      <c r="E15" s="359"/>
      <c r="F15" s="372">
        <v>920.5</v>
      </c>
      <c r="G15" s="372"/>
      <c r="H15" s="372"/>
      <c r="I15" s="372"/>
      <c r="J15" s="372"/>
      <c r="K15" s="372">
        <v>5419.14</v>
      </c>
      <c r="L15" s="372">
        <f>K15/F15</f>
        <v>5.8871700162954923</v>
      </c>
      <c r="M15" s="360"/>
    </row>
    <row r="16" spans="2:15" ht="16.5" thickBot="1" x14ac:dyDescent="0.3">
      <c r="B16" s="361" t="s">
        <v>530</v>
      </c>
      <c r="C16" s="362"/>
      <c r="D16" s="362"/>
      <c r="E16" s="373">
        <v>250823</v>
      </c>
      <c r="F16" s="374">
        <v>868.04</v>
      </c>
      <c r="G16" s="374">
        <v>759.76</v>
      </c>
      <c r="H16" s="374">
        <v>4214.5200000000004</v>
      </c>
      <c r="I16" s="374">
        <v>0.22</v>
      </c>
      <c r="J16" s="374">
        <v>1.03</v>
      </c>
      <c r="K16" s="375">
        <f>+G16+H16+J16+I16</f>
        <v>4975.5300000000007</v>
      </c>
      <c r="L16" s="374">
        <f>K16/F16</f>
        <v>5.7319132758859048</v>
      </c>
      <c r="M16" s="363"/>
      <c r="O16" s="24" t="s">
        <v>532</v>
      </c>
    </row>
    <row r="21" spans="2:13" ht="16.5" x14ac:dyDescent="0.3">
      <c r="B21" s="934" t="s">
        <v>723</v>
      </c>
      <c r="C21" s="935"/>
      <c r="D21" s="935"/>
      <c r="E21" s="7"/>
      <c r="M21" s="936" t="s">
        <v>724</v>
      </c>
    </row>
    <row r="22" spans="2:13" ht="16.5" x14ac:dyDescent="0.3">
      <c r="B22" s="934" t="s">
        <v>725</v>
      </c>
      <c r="C22" s="935"/>
      <c r="D22" s="935"/>
      <c r="E22" s="7"/>
      <c r="M22" s="937" t="s">
        <v>726</v>
      </c>
    </row>
    <row r="23" spans="2:13" x14ac:dyDescent="0.25">
      <c r="B23" s="7"/>
      <c r="C23" s="7"/>
      <c r="D23" s="7"/>
      <c r="E23" s="7"/>
      <c r="M23" s="7"/>
    </row>
    <row r="24" spans="2:13" x14ac:dyDescent="0.25">
      <c r="B24" s="7"/>
      <c r="C24" s="7"/>
      <c r="D24" s="7"/>
      <c r="E24" s="7"/>
      <c r="M24" s="7"/>
    </row>
    <row r="25" spans="2:13" x14ac:dyDescent="0.25">
      <c r="B25" s="7"/>
      <c r="C25" s="7"/>
      <c r="D25" s="7"/>
      <c r="E25" s="7"/>
      <c r="M25" s="7"/>
    </row>
    <row r="26" spans="2:13" x14ac:dyDescent="0.25">
      <c r="B26" s="7"/>
      <c r="C26" s="7"/>
      <c r="D26" s="7"/>
      <c r="E26" s="7"/>
      <c r="M26" s="7"/>
    </row>
    <row r="27" spans="2:13" x14ac:dyDescent="0.25">
      <c r="B27" s="946" t="s">
        <v>731</v>
      </c>
      <c r="C27" s="939"/>
      <c r="D27" s="940"/>
      <c r="E27" s="7"/>
      <c r="M27" s="941" t="s">
        <v>728</v>
      </c>
    </row>
    <row r="28" spans="2:13" x14ac:dyDescent="0.25">
      <c r="B28" s="946" t="s">
        <v>732</v>
      </c>
      <c r="C28" s="942"/>
      <c r="D28" s="940"/>
      <c r="E28" s="7"/>
      <c r="M28" s="941" t="s">
        <v>730</v>
      </c>
    </row>
    <row r="29" spans="2:13" x14ac:dyDescent="0.25">
      <c r="B29" s="944"/>
      <c r="C29" s="944"/>
      <c r="D29" s="944"/>
      <c r="E29" s="944"/>
      <c r="F29" s="7"/>
    </row>
    <row r="30" spans="2:13" x14ac:dyDescent="0.25">
      <c r="B30" s="944"/>
      <c r="C30" s="944"/>
      <c r="D30" s="944"/>
      <c r="E30" s="7"/>
      <c r="F30" s="941"/>
    </row>
    <row r="31" spans="2:13" ht="15.75" x14ac:dyDescent="0.3">
      <c r="B31" s="7"/>
      <c r="C31" s="944"/>
      <c r="D31" s="944"/>
      <c r="E31" s="7"/>
      <c r="F31" s="945"/>
    </row>
    <row r="32" spans="2:13" ht="15.75" x14ac:dyDescent="0.3">
      <c r="C32" s="944"/>
      <c r="D32" s="944"/>
      <c r="E32" s="947"/>
      <c r="F32" s="945"/>
    </row>
    <row r="33" spans="3:6" x14ac:dyDescent="0.25">
      <c r="C33" s="948"/>
      <c r="D33" s="948"/>
      <c r="E33" s="948"/>
      <c r="F33" s="949"/>
    </row>
  </sheetData>
  <mergeCells count="3">
    <mergeCell ref="B2:M2"/>
    <mergeCell ref="B3:M3"/>
    <mergeCell ref="B4:M4"/>
  </mergeCells>
  <pageMargins left="0.7" right="0.7" top="0.75" bottom="0.75" header="0.3" footer="0.3"/>
  <pageSetup scale="85" orientation="landscape" r:id="rId1"/>
  <colBreaks count="1" manualBreakCount="1">
    <brk id="13" max="1048575" man="1"/>
  </colBreaks>
  <ignoredErrors>
    <ignoredError sqref="E14:J1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ARR-ORDER</vt:lpstr>
      <vt:lpstr>D11-ARR-FY18</vt:lpstr>
      <vt:lpstr>D21-ERC-FY18</vt:lpstr>
      <vt:lpstr>D21-ERC-FY18-P1</vt:lpstr>
      <vt:lpstr>D21-ERC-FY18-P23</vt:lpstr>
      <vt:lpstr>D21-ERC-FY18-P5</vt:lpstr>
      <vt:lpstr>D24- NTI</vt:lpstr>
      <vt:lpstr>D27 FY17 GRANTS</vt:lpstr>
      <vt:lpstr>D31-FY17-PPURCHASE</vt:lpstr>
      <vt:lpstr>D34 FY18 O&amp;M</vt:lpstr>
      <vt:lpstr>D35 FY18 DEPR</vt:lpstr>
      <vt:lpstr>D36 FY18 I&amp;F</vt:lpstr>
      <vt:lpstr>D37 FY18 IWC</vt:lpstr>
      <vt:lpstr>D38 FY18 ROI</vt:lpstr>
      <vt:lpstr>D41 FY18 CAPEX</vt:lpstr>
      <vt:lpstr>D42 FY18 FA</vt:lpstr>
      <vt:lpstr>D43 FY18 GEN</vt:lpstr>
      <vt:lpstr>D62 FY18 LOSS</vt:lpstr>
      <vt:lpstr>D61 FY18 PERF</vt:lpstr>
      <vt:lpstr>D71 FY18 SALES P1</vt:lpstr>
      <vt:lpstr>D71 FY18 SALES P2_3</vt:lpstr>
      <vt:lpstr>D71 FY18 SALES P5</vt:lpstr>
      <vt:lpstr>D73 Coll. Effy</vt:lpstr>
      <vt:lpstr>DP&amp;L FY18</vt:lpstr>
      <vt:lpstr>D BS FY18</vt:lpstr>
      <vt:lpstr>D CF FY18</vt:lpstr>
      <vt:lpstr>Cash Flow (AS)</vt:lpstr>
      <vt:lpstr>'D BS FY18'!Print_Area</vt:lpstr>
      <vt:lpstr>'D CF FY18'!Print_Area</vt:lpstr>
      <vt:lpstr>'D11-ARR-FY18'!Print_Area</vt:lpstr>
      <vt:lpstr>'D21-ERC-FY18'!Print_Area</vt:lpstr>
      <vt:lpstr>'D21-ERC-FY18-P1'!Print_Area</vt:lpstr>
      <vt:lpstr>'D21-ERC-FY18-P23'!Print_Area</vt:lpstr>
      <vt:lpstr>'D21-ERC-FY18-P5'!Print_Area</vt:lpstr>
      <vt:lpstr>'D34 FY18 O&amp;M'!Print_Area</vt:lpstr>
      <vt:lpstr>'D41 FY18 CAPEX'!Print_Area</vt:lpstr>
      <vt:lpstr>'D42 FY18 FA'!Print_Area</vt:lpstr>
      <vt:lpstr>'D71 FY18 SALES P1'!Print_Area</vt:lpstr>
      <vt:lpstr>'D71 FY18 SALES P2_3'!Print_Area</vt:lpstr>
      <vt:lpstr>'D73 Coll. Effy'!Print_Area</vt:lpstr>
      <vt:lpstr>'DP&amp;L FY18'!Print_Area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Viswam</cp:lastModifiedBy>
  <cp:lastPrinted>2020-05-27T10:37:30Z</cp:lastPrinted>
  <dcterms:created xsi:type="dcterms:W3CDTF">2015-05-16T10:28:16Z</dcterms:created>
  <dcterms:modified xsi:type="dcterms:W3CDTF">2020-06-29T06:45:13Z</dcterms:modified>
</cp:coreProperties>
</file>