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nce\Backup\Power Accounts\Power Final Acts 13-14\ARR ERC\"/>
    </mc:Choice>
  </mc:AlternateContent>
  <bookViews>
    <workbookView xWindow="0" yWindow="0" windowWidth="19440" windowHeight="7755" tabRatio="844" firstSheet="7" activeTab="8"/>
  </bookViews>
  <sheets>
    <sheet name="Contents" sheetId="37" r:id="rId1"/>
    <sheet name="Form B" sheetId="1" r:id="rId2"/>
    <sheet name="Form C" sheetId="14" r:id="rId3"/>
    <sheet name="Form C (2)" sheetId="15" r:id="rId4"/>
    <sheet name="Form D" sheetId="16" r:id="rId5"/>
    <sheet name="Form E" sheetId="34" r:id="rId6"/>
    <sheet name="Calcu-ROI" sheetId="36" r:id="rId7"/>
    <sheet name="Form F" sheetId="2" r:id="rId8"/>
    <sheet name="Form G" sheetId="3" r:id="rId9"/>
    <sheet name="Form H" sheetId="41" r:id="rId10"/>
    <sheet name="Form I" sheetId="42" r:id="rId11"/>
    <sheet name="Form J" sheetId="4" r:id="rId12"/>
    <sheet name="Form K" sheetId="5" r:id="rId13"/>
    <sheet name="Form L" sheetId="35" r:id="rId14"/>
    <sheet name="Form M" sheetId="6" r:id="rId15"/>
    <sheet name="Form N" sheetId="29" r:id="rId16"/>
    <sheet name="Form O" sheetId="11" r:id="rId17"/>
    <sheet name="Form P" sheetId="38" r:id="rId18"/>
    <sheet name="Form Q" sheetId="39" r:id="rId19"/>
    <sheet name="Form R" sheetId="40" r:id="rId20"/>
    <sheet name="Form S" sheetId="19" r:id="rId21"/>
    <sheet name="Form T" sheetId="23" r:id="rId22"/>
    <sheet name="Form U" sheetId="24" r:id="rId23"/>
    <sheet name="Form V" sheetId="17" r:id="rId24"/>
    <sheet name="Form W" sheetId="30" r:id="rId25"/>
    <sheet name="Form W1" sheetId="25" r:id="rId26"/>
    <sheet name="Form X" sheetId="26" r:id="rId27"/>
    <sheet name="Form Y" sheetId="27" r:id="rId28"/>
    <sheet name="Form Z" sheetId="28" r:id="rId29"/>
    <sheet name="Sheet1" sheetId="43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sdsfxgdbg" localSheetId="0">Scheduled_Payment+Extra_Payment</definedName>
    <definedName name="asdsfxgdbg" localSheetId="9">Scheduled_Payment+Extra_Payment</definedName>
    <definedName name="asdsfxgdbg" localSheetId="10">Scheduled_Payment+Extra_Payment</definedName>
    <definedName name="asdsfxgdbg" localSheetId="17">Scheduled_Payment+Extra_Payment</definedName>
    <definedName name="asdsfxgdbg" localSheetId="18">Scheduled_Payment+Extra_Payment</definedName>
    <definedName name="asdsfxgdbg" localSheetId="19">Scheduled_Payment+Extra_Payment</definedName>
    <definedName name="asdsfxgdbg">Scheduled_Payment+Extra_Payment</definedName>
    <definedName name="Beg_Bal" localSheetId="0">#REF!</definedName>
    <definedName name="Beg_Bal" localSheetId="9">#REF!</definedName>
    <definedName name="Beg_Bal" localSheetId="10">#REF!</definedName>
    <definedName name="Beg_Bal" localSheetId="13">#REF!</definedName>
    <definedName name="Beg_Bal" localSheetId="17">#REF!</definedName>
    <definedName name="Beg_Bal" localSheetId="18">#REF!</definedName>
    <definedName name="Beg_Bal" localSheetId="19">#REF!</definedName>
    <definedName name="Beg_Bal">#REF!</definedName>
    <definedName name="Data" localSheetId="0">#REF!</definedName>
    <definedName name="Data" localSheetId="9">#REF!</definedName>
    <definedName name="Data" localSheetId="10">#REF!</definedName>
    <definedName name="Data" localSheetId="13">#REF!</definedName>
    <definedName name="Data" localSheetId="17">#REF!</definedName>
    <definedName name="Data" localSheetId="18">#REF!</definedName>
    <definedName name="Data" localSheetId="19">#REF!</definedName>
    <definedName name="Data">#REF!</definedName>
    <definedName name="ddd" localSheetId="9">IF('Form H'!Values_Entered,'Form H'!Header_Row+'Form H'!Number_of_Payments,'Form H'!Header_Row)</definedName>
    <definedName name="ddd" localSheetId="10">IF(Values_Entered,'Form I'!Header_Row+Number_of_Payments,'Form I'!Header_Row)</definedName>
    <definedName name="ddd" localSheetId="17">IF(Values_Entered,'Form P'!Header_Row+Number_of_Payments,'Form P'!Header_Row)</definedName>
    <definedName name="ddd" localSheetId="18">IF(Values_Entered,'Form Q'!Header_Row+Number_of_Payments,'Form Q'!Header_Row)</definedName>
    <definedName name="ddd" localSheetId="19">IF('Form R'!Values_Entered,'Form R'!Header_Row+'Form R'!Number_of_Payments,'Form R'!Header_Row)</definedName>
    <definedName name="ddd">IF(Values_Entered,Contents!Header_Row+Number_of_Payments,Contents!Header_Row)</definedName>
    <definedName name="End_Bal" localSheetId="0">#REF!</definedName>
    <definedName name="End_Bal" localSheetId="9">#REF!</definedName>
    <definedName name="End_Bal" localSheetId="10">#REF!</definedName>
    <definedName name="End_Bal" localSheetId="13">#REF!</definedName>
    <definedName name="End_Bal" localSheetId="17">#REF!</definedName>
    <definedName name="End_Bal" localSheetId="18">#REF!</definedName>
    <definedName name="End_Bal" localSheetId="19">#REF!</definedName>
    <definedName name="End_Bal">#REF!</definedName>
    <definedName name="Extra_Pay" localSheetId="0">#REF!</definedName>
    <definedName name="Extra_Pay" localSheetId="9">#REF!</definedName>
    <definedName name="Extra_Pay" localSheetId="10">#REF!</definedName>
    <definedName name="Extra_Pay" localSheetId="13">#REF!</definedName>
    <definedName name="Extra_Pay" localSheetId="17">#REF!</definedName>
    <definedName name="Extra_Pay" localSheetId="18">#REF!</definedName>
    <definedName name="Extra_Pay" localSheetId="19">#REF!</definedName>
    <definedName name="Extra_Pay">#REF!</definedName>
    <definedName name="Full_Print" localSheetId="0">#REF!</definedName>
    <definedName name="Full_Print" localSheetId="9">#REF!</definedName>
    <definedName name="Full_Print" localSheetId="10">#REF!</definedName>
    <definedName name="Full_Print" localSheetId="13">#REF!</definedName>
    <definedName name="Full_Print" localSheetId="17">#REF!</definedName>
    <definedName name="Full_Print" localSheetId="18">#REF!</definedName>
    <definedName name="Full_Print" localSheetId="19">#REF!</definedName>
    <definedName name="Full_Print">#REF!</definedName>
    <definedName name="gdgsgsfs" localSheetId="9">OFFSET('Form H'!Full_Print,0,0,'Form H'!ddd)</definedName>
    <definedName name="gdgsgsfs" localSheetId="10">OFFSET('Form I'!Full_Print,0,0,'Form I'!ddd)</definedName>
    <definedName name="gdgsgsfs" localSheetId="17">OFFSET('Form P'!Full_Print,0,0,'Form P'!ddd)</definedName>
    <definedName name="gdgsgsfs" localSheetId="18">OFFSET('Form Q'!Full_Print,0,0,'Form Q'!ddd)</definedName>
    <definedName name="gdgsgsfs" localSheetId="19">OFFSET('Form R'!Full_Print,0,0,'Form R'!ddd)</definedName>
    <definedName name="gdgsgsfs">OFFSET(Contents!Full_Print,0,0,ddd)</definedName>
    <definedName name="Header_Row" localSheetId="0">ROW(#REF!)</definedName>
    <definedName name="Header_Row" localSheetId="9">ROW(#REF!)</definedName>
    <definedName name="Header_Row" localSheetId="10">ROW(#REF!)</definedName>
    <definedName name="Header_Row" localSheetId="13">ROW(#REF!)</definedName>
    <definedName name="Header_Row" localSheetId="17">ROW(#REF!)</definedName>
    <definedName name="Header_Row" localSheetId="18">ROW(#REF!)</definedName>
    <definedName name="Header_Row" localSheetId="19">ROW(#REF!)</definedName>
    <definedName name="Header_Row">ROW(#REF!)</definedName>
    <definedName name="Int" localSheetId="0">#REF!</definedName>
    <definedName name="Int" localSheetId="9">#REF!</definedName>
    <definedName name="Int" localSheetId="10">#REF!</definedName>
    <definedName name="Int" localSheetId="13">#REF!</definedName>
    <definedName name="Int" localSheetId="17">#REF!</definedName>
    <definedName name="Int" localSheetId="18">#REF!</definedName>
    <definedName name="Int" localSheetId="19">#REF!</definedName>
    <definedName name="Int">#REF!</definedName>
    <definedName name="Interest_Rate" localSheetId="0">#REF!</definedName>
    <definedName name="Interest_Rate" localSheetId="9">#REF!</definedName>
    <definedName name="Interest_Rate" localSheetId="10">#REF!</definedName>
    <definedName name="Interest_Rate" localSheetId="13">#REF!</definedName>
    <definedName name="Interest_Rate" localSheetId="17">#REF!</definedName>
    <definedName name="Interest_Rate" localSheetId="18">#REF!</definedName>
    <definedName name="Interest_Rate" localSheetId="19">#REF!</definedName>
    <definedName name="Interest_Rate">#REF!</definedName>
    <definedName name="Last_Row" localSheetId="0">IF(Contents!Values_Entered,Contents!Header_Row+Contents!Number_of_Payments,Contents!Header_Row)</definedName>
    <definedName name="Last_Row" localSheetId="5">IF('Form E'!Values_Entered,Header_Row+'Form E'!Number_of_Payments,Header_Row)</definedName>
    <definedName name="Last_Row" localSheetId="9">IF('Form H'!Values_Entered,'Form H'!Header_Row+'Form H'!Number_of_Payments,'Form H'!Header_Row)</definedName>
    <definedName name="Last_Row" localSheetId="10">IF('Form I'!Values_Entered,'Form I'!Header_Row+'Form I'!Number_of_Payments,'Form I'!Header_Row)</definedName>
    <definedName name="Last_Row" localSheetId="13">IF('Form L'!Values_Entered,'Form L'!Header_Row+'Form L'!Number_of_Payments,'Form L'!Header_Row)</definedName>
    <definedName name="Last_Row" localSheetId="15">IF('Form N'!Values_Entered,Header_Row+'Form N'!Number_of_Payments,Header_Row)</definedName>
    <definedName name="Last_Row" localSheetId="17">IF('Form P'!Values_Entered,'Form P'!Header_Row+'Form P'!Number_of_Payments,'Form P'!Header_Row)</definedName>
    <definedName name="Last_Row" localSheetId="18">IF('Form Q'!Values_Entered,'Form Q'!Header_Row+'Form Q'!Number_of_Payments,'Form Q'!Header_Row)</definedName>
    <definedName name="Last_Row" localSheetId="19">IF('Form R'!Values_Entered,'Form R'!Header_Row+'Form R'!Number_of_Payments,'Form R'!Header_Row)</definedName>
    <definedName name="Last_Row" localSheetId="24">IF('Form W'!Values_Entered,Header_Row+'Form W'!Number_of_Payments,Header_Row)</definedName>
    <definedName name="Last_Row">IF(Values_Entered,Header_Row+Number_of_Payments,Header_Row)</definedName>
    <definedName name="Loan_Amount" localSheetId="0">#REF!</definedName>
    <definedName name="Loan_Amount" localSheetId="9">#REF!</definedName>
    <definedName name="Loan_Amount" localSheetId="10">#REF!</definedName>
    <definedName name="Loan_Amount" localSheetId="13">#REF!</definedName>
    <definedName name="Loan_Amount" localSheetId="17">#REF!</definedName>
    <definedName name="Loan_Amount" localSheetId="18">#REF!</definedName>
    <definedName name="Loan_Amount" localSheetId="19">#REF!</definedName>
    <definedName name="Loan_Amount">#REF!</definedName>
    <definedName name="Loan_Start" localSheetId="0">#REF!</definedName>
    <definedName name="Loan_Start" localSheetId="9">#REF!</definedName>
    <definedName name="Loan_Start" localSheetId="10">#REF!</definedName>
    <definedName name="Loan_Start" localSheetId="13">#REF!</definedName>
    <definedName name="Loan_Start" localSheetId="17">#REF!</definedName>
    <definedName name="Loan_Start" localSheetId="18">#REF!</definedName>
    <definedName name="Loan_Start" localSheetId="19">#REF!</definedName>
    <definedName name="Loan_Start">#REF!</definedName>
    <definedName name="Loan_Years" localSheetId="0">#REF!</definedName>
    <definedName name="Loan_Years" localSheetId="9">#REF!</definedName>
    <definedName name="Loan_Years" localSheetId="10">#REF!</definedName>
    <definedName name="Loan_Years" localSheetId="13">#REF!</definedName>
    <definedName name="Loan_Years" localSheetId="17">#REF!</definedName>
    <definedName name="Loan_Years" localSheetId="18">#REF!</definedName>
    <definedName name="Loan_Years" localSheetId="19">#REF!</definedName>
    <definedName name="Loan_Years">#REF!</definedName>
    <definedName name="Num_Pmt_Per_Year" localSheetId="0">#REF!</definedName>
    <definedName name="Num_Pmt_Per_Year" localSheetId="9">#REF!</definedName>
    <definedName name="Num_Pmt_Per_Year" localSheetId="10">#REF!</definedName>
    <definedName name="Num_Pmt_Per_Year" localSheetId="13">#REF!</definedName>
    <definedName name="Num_Pmt_Per_Year" localSheetId="17">#REF!</definedName>
    <definedName name="Num_Pmt_Per_Year" localSheetId="18">#REF!</definedName>
    <definedName name="Num_Pmt_Per_Year" localSheetId="19">#REF!</definedName>
    <definedName name="Num_Pmt_Per_Year">#REF!</definedName>
    <definedName name="Number_of_Payments" localSheetId="0">MATCH(0.01,Contents!End_Bal,-1)+1</definedName>
    <definedName name="Number_of_Payments" localSheetId="5">MATCH(0.01,End_Bal,-1)+1</definedName>
    <definedName name="Number_of_Payments" localSheetId="9">MATCH(0.01,'Form H'!End_Bal,-1)+1</definedName>
    <definedName name="Number_of_Payments" localSheetId="10">MATCH(0.01,'Form I'!End_Bal,-1)+1</definedName>
    <definedName name="Number_of_Payments" localSheetId="13">MATCH(0.01,'Form L'!End_Bal,-1)+1</definedName>
    <definedName name="Number_of_Payments" localSheetId="15">MATCH(0.01,End_Bal,-1)+1</definedName>
    <definedName name="Number_of_Payments" localSheetId="17">MATCH(0.01,'Form P'!End_Bal,-1)+1</definedName>
    <definedName name="Number_of_Payments" localSheetId="18">MATCH(0.01,'Form Q'!End_Bal,-1)+1</definedName>
    <definedName name="Number_of_Payments" localSheetId="19">MATCH(0.01,'Form R'!End_Bal,-1)+1</definedName>
    <definedName name="Number_of_Payments" localSheetId="24">MATCH(0.01,End_Bal,-1)+1</definedName>
    <definedName name="Number_of_Payments">MATCH(0.01,End_Bal,-1)+1</definedName>
    <definedName name="Pay_Date" localSheetId="0">#REF!</definedName>
    <definedName name="Pay_Date" localSheetId="9">#REF!</definedName>
    <definedName name="Pay_Date" localSheetId="10">#REF!</definedName>
    <definedName name="Pay_Date" localSheetId="13">#REF!</definedName>
    <definedName name="Pay_Date" localSheetId="17">#REF!</definedName>
    <definedName name="Pay_Date" localSheetId="18">#REF!</definedName>
    <definedName name="Pay_Date" localSheetId="19">#REF!</definedName>
    <definedName name="Pay_Date">#REF!</definedName>
    <definedName name="Pay_Num" localSheetId="0">#REF!</definedName>
    <definedName name="Pay_Num" localSheetId="9">#REF!</definedName>
    <definedName name="Pay_Num" localSheetId="10">#REF!</definedName>
    <definedName name="Pay_Num" localSheetId="13">#REF!</definedName>
    <definedName name="Pay_Num" localSheetId="17">#REF!</definedName>
    <definedName name="Pay_Num" localSheetId="18">#REF!</definedName>
    <definedName name="Pay_Num" localSheetId="19">#REF!</definedName>
    <definedName name="Pay_Num">#REF!</definedName>
    <definedName name="Payment_Date" localSheetId="0">DATE(YEAR(Contents!Loan_Start),MONTH(Contents!Loan_Start)+Payment_Number,DAY(Contents!Loan_Start))</definedName>
    <definedName name="Payment_Date" localSheetId="5">DATE(YEAR(Loan_Start),MONTH(Loan_Start)+Payment_Number,DAY(Loan_Start))</definedName>
    <definedName name="Payment_Date" localSheetId="9">DATE(YEAR('Form H'!Loan_Start),MONTH('Form H'!Loan_Start)+Payment_Number,DAY('Form H'!Loan_Start))</definedName>
    <definedName name="Payment_Date" localSheetId="10">DATE(YEAR('Form I'!Loan_Start),MONTH('Form I'!Loan_Start)+Payment_Number,DAY('Form I'!Loan_Start))</definedName>
    <definedName name="Payment_Date" localSheetId="13">DATE(YEAR('Form L'!Loan_Start),MONTH('Form L'!Loan_Start)+Payment_Number,DAY('Form L'!Loan_Start))</definedName>
    <definedName name="Payment_Date" localSheetId="15">DATE(YEAR(Loan_Start),MONTH(Loan_Start)+Payment_Number,DAY(Loan_Start))</definedName>
    <definedName name="Payment_Date" localSheetId="17">DATE(YEAR('Form P'!Loan_Start),MONTH('Form P'!Loan_Start)+Payment_Number,DAY('Form P'!Loan_Start))</definedName>
    <definedName name="Payment_Date" localSheetId="18">DATE(YEAR('Form Q'!Loan_Start),MONTH('Form Q'!Loan_Start)+Payment_Number,DAY('Form Q'!Loan_Start))</definedName>
    <definedName name="Payment_Date" localSheetId="19">DATE(YEAR('Form R'!Loan_Start),MONTH('Form R'!Loan_Start)+Payment_Number,DAY('Form R'!Loan_Start))</definedName>
    <definedName name="Payment_Date" localSheetId="24">DATE(YEAR(Loan_Start),MONTH(Loan_Start)+Payment_Number,DAY(Loan_Start))</definedName>
    <definedName name="Payment_Date">DATE(YEAR(Loan_Start),MONTH(Loan_Start)+Payment_Number,DAY(Loan_Start))</definedName>
    <definedName name="Princ" localSheetId="0">#REF!</definedName>
    <definedName name="Princ" localSheetId="9">#REF!</definedName>
    <definedName name="Princ" localSheetId="10">#REF!</definedName>
    <definedName name="Princ" localSheetId="13">#REF!</definedName>
    <definedName name="Princ" localSheetId="17">#REF!</definedName>
    <definedName name="Princ" localSheetId="18">#REF!</definedName>
    <definedName name="Princ" localSheetId="19">#REF!</definedName>
    <definedName name="Princ">#REF!</definedName>
    <definedName name="_xlnm.Print_Area" localSheetId="6">'Calcu-ROI'!$A$1:$E$32</definedName>
    <definedName name="_xlnm.Print_Area" localSheetId="0">Contents!$A$1:$C$50</definedName>
    <definedName name="_xlnm.Print_Area" localSheetId="1">'Form B'!$A$1:$E$61</definedName>
    <definedName name="_xlnm.Print_Area" localSheetId="3">'Form C (2)'!$A$1:$D$60</definedName>
    <definedName name="_xlnm.Print_Area" localSheetId="4">'Form D'!$A$1:$D$91</definedName>
    <definedName name="_xlnm.Print_Area" localSheetId="7">'Form F'!$A$1:$M$34</definedName>
    <definedName name="_xlnm.Print_Area" localSheetId="8">'Form G'!$A$1:$J$50</definedName>
    <definedName name="_xlnm.Print_Area" localSheetId="10">'Form I'!$A$1:$D$55</definedName>
    <definedName name="_xlnm.Print_Area" localSheetId="11">'Form J'!$A$1:$H$65</definedName>
    <definedName name="_xlnm.Print_Area" localSheetId="12">'Form K'!$A$1:$D$41</definedName>
    <definedName name="_xlnm.Print_Area" localSheetId="13">'Form L'!$A$1:$M$42</definedName>
    <definedName name="_xlnm.Print_Area" localSheetId="14">'Form M'!$A$1:$D$52</definedName>
    <definedName name="_xlnm.Print_Area" localSheetId="15">'Form N'!$A$1:$J$42</definedName>
    <definedName name="_xlnm.Print_Area" localSheetId="16">'Form O'!$A$1:$D$35</definedName>
    <definedName name="_xlnm.Print_Area" localSheetId="17">'Form P'!$A$1:$I$35</definedName>
    <definedName name="_xlnm.Print_Area" localSheetId="18">'Form Q'!$A$1:$D$34</definedName>
    <definedName name="_xlnm.Print_Area" localSheetId="19">'Form R'!$A$1:$D$28</definedName>
    <definedName name="_xlnm.Print_Area" localSheetId="22">'Form U'!$A$1:$H$34</definedName>
    <definedName name="_xlnm.Print_Area" localSheetId="23">'Form V'!$A$1:$J$46</definedName>
    <definedName name="_xlnm.Print_Area" localSheetId="24">'Form W'!$A$1:$J$41</definedName>
    <definedName name="_xlnm.Print_Area" localSheetId="25">'Form W1'!$A$1:$D$49</definedName>
    <definedName name="_xlnm.Print_Area" localSheetId="27">'Form Y'!$A$1:$L$39</definedName>
    <definedName name="_xlnm.Print_Area" localSheetId="28">'Form Z'!$A$1:$Q$50</definedName>
    <definedName name="Print_Area_Reset" localSheetId="0">OFFSET(Contents!Full_Print,0,0,Contents!Last_Row)</definedName>
    <definedName name="Print_Area_Reset" localSheetId="5">OFFSET(Full_Print,0,0,'Form E'!Last_Row)</definedName>
    <definedName name="Print_Area_Reset" localSheetId="9">OFFSET('Form H'!Full_Print,0,0,'Form H'!Last_Row)</definedName>
    <definedName name="Print_Area_Reset" localSheetId="10">OFFSET('Form I'!Full_Print,0,0,'Form I'!Last_Row)</definedName>
    <definedName name="Print_Area_Reset" localSheetId="13">OFFSET('Form L'!Full_Print,0,0,'Form L'!Last_Row)</definedName>
    <definedName name="Print_Area_Reset" localSheetId="15">OFFSET(Full_Print,0,0,'Form N'!Last_Row)</definedName>
    <definedName name="Print_Area_Reset" localSheetId="17">OFFSET('Form P'!Full_Print,0,0,'Form P'!Last_Row)</definedName>
    <definedName name="Print_Area_Reset" localSheetId="18">OFFSET('Form Q'!Full_Print,0,0,'Form Q'!Last_Row)</definedName>
    <definedName name="Print_Area_Reset" localSheetId="19">OFFSET('Form R'!Full_Print,0,0,'Form R'!Last_Row)</definedName>
    <definedName name="Print_Area_Reset" localSheetId="24">OFFSET(Full_Print,0,0,'Form W'!Last_Row)</definedName>
    <definedName name="Print_Area_Reset">OFFSET(Full_Print,0,0,Last_Row)</definedName>
    <definedName name="_xlnm.Print_Titles" localSheetId="4">'Form D'!$3:$4</definedName>
    <definedName name="Sched_Pay" localSheetId="0">#REF!</definedName>
    <definedName name="Sched_Pay" localSheetId="9">#REF!</definedName>
    <definedName name="Sched_Pay" localSheetId="10">#REF!</definedName>
    <definedName name="Sched_Pay" localSheetId="13">#REF!</definedName>
    <definedName name="Sched_Pay" localSheetId="17">#REF!</definedName>
    <definedName name="Sched_Pay" localSheetId="18">#REF!</definedName>
    <definedName name="Sched_Pay" localSheetId="19">#REF!</definedName>
    <definedName name="Sched_Pay">#REF!</definedName>
    <definedName name="Scheduled_Extra_Payments" localSheetId="0">#REF!</definedName>
    <definedName name="Scheduled_Extra_Payments" localSheetId="9">#REF!</definedName>
    <definedName name="Scheduled_Extra_Payments" localSheetId="10">#REF!</definedName>
    <definedName name="Scheduled_Extra_Payments" localSheetId="13">#REF!</definedName>
    <definedName name="Scheduled_Extra_Payments" localSheetId="17">#REF!</definedName>
    <definedName name="Scheduled_Extra_Payments" localSheetId="18">#REF!</definedName>
    <definedName name="Scheduled_Extra_Payments" localSheetId="19">#REF!</definedName>
    <definedName name="Scheduled_Extra_Payments">#REF!</definedName>
    <definedName name="Scheduled_Interest_Rate" localSheetId="0">#REF!</definedName>
    <definedName name="Scheduled_Interest_Rate" localSheetId="9">#REF!</definedName>
    <definedName name="Scheduled_Interest_Rate" localSheetId="10">#REF!</definedName>
    <definedName name="Scheduled_Interest_Rate" localSheetId="13">#REF!</definedName>
    <definedName name="Scheduled_Interest_Rate" localSheetId="17">#REF!</definedName>
    <definedName name="Scheduled_Interest_Rate" localSheetId="18">#REF!</definedName>
    <definedName name="Scheduled_Interest_Rate" localSheetId="19">#REF!</definedName>
    <definedName name="Scheduled_Interest_Rate">#REF!</definedName>
    <definedName name="Scheduled_Monthly_Payment" localSheetId="0">#REF!</definedName>
    <definedName name="Scheduled_Monthly_Payment" localSheetId="9">#REF!</definedName>
    <definedName name="Scheduled_Monthly_Payment" localSheetId="10">#REF!</definedName>
    <definedName name="Scheduled_Monthly_Payment" localSheetId="13">#REF!</definedName>
    <definedName name="Scheduled_Monthly_Payment" localSheetId="17">#REF!</definedName>
    <definedName name="Scheduled_Monthly_Payment" localSheetId="18">#REF!</definedName>
    <definedName name="Scheduled_Monthly_Payment" localSheetId="19">#REF!</definedName>
    <definedName name="Scheduled_Monthly_Payment">#REF!</definedName>
    <definedName name="Tabulation" localSheetId="0">DATE(YEAR(Contents!Loan_Start),MONTH(Contents!Loan_Start)+Payment_Number,DAY(Contents!Loan_Start))</definedName>
    <definedName name="Tabulation" localSheetId="9">DATE(YEAR('Form H'!Loan_Start),MONTH('Form H'!Loan_Start)+Payment_Number,DAY('Form H'!Loan_Start))</definedName>
    <definedName name="Tabulation" localSheetId="10">DATE(YEAR('Form I'!Loan_Start),MONTH('Form I'!Loan_Start)+Payment_Number,DAY('Form I'!Loan_Start))</definedName>
    <definedName name="Tabulation" localSheetId="17">DATE(YEAR('Form P'!Loan_Start),MONTH('Form P'!Loan_Start)+Payment_Number,DAY('Form P'!Loan_Start))</definedName>
    <definedName name="Tabulation" localSheetId="18">DATE(YEAR('Form Q'!Loan_Start),MONTH('Form Q'!Loan_Start)+Payment_Number,DAY('Form Q'!Loan_Start))</definedName>
    <definedName name="Tabulation" localSheetId="19">DATE(YEAR('Form R'!Loan_Start),MONTH('Form R'!Loan_Start)+Payment_Number,DAY('Form R'!Loan_Start))</definedName>
    <definedName name="Tabulation">DATE(YEAR(Contents!Loan_Start),MONTH(Contents!Loan_Start)+Payment_Number,DAY(Contents!Loan_Start))</definedName>
    <definedName name="Total_Interest" localSheetId="0">#REF!</definedName>
    <definedName name="Total_Interest" localSheetId="9">#REF!</definedName>
    <definedName name="Total_Interest" localSheetId="10">#REF!</definedName>
    <definedName name="Total_Interest" localSheetId="13">#REF!</definedName>
    <definedName name="Total_Interest" localSheetId="17">#REF!</definedName>
    <definedName name="Total_Interest" localSheetId="18">#REF!</definedName>
    <definedName name="Total_Interest" localSheetId="19">#REF!</definedName>
    <definedName name="Total_Interest">#REF!</definedName>
    <definedName name="Total_Pay" localSheetId="0">#REF!</definedName>
    <definedName name="Total_Pay" localSheetId="9">#REF!</definedName>
    <definedName name="Total_Pay" localSheetId="10">#REF!</definedName>
    <definedName name="Total_Pay" localSheetId="13">#REF!</definedName>
    <definedName name="Total_Pay" localSheetId="17">#REF!</definedName>
    <definedName name="Total_Pay" localSheetId="18">#REF!</definedName>
    <definedName name="Total_Pay" localSheetId="19">#REF!</definedName>
    <definedName name="Total_Pay">#REF!</definedName>
    <definedName name="Total_Payment" localSheetId="0">Scheduled_Payment+Extra_Payment</definedName>
    <definedName name="Total_Payment" localSheetId="5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3">Scheduled_Payment+Extra_Payment</definedName>
    <definedName name="Total_Payment" localSheetId="15">Scheduled_Payment+Extra_Payment</definedName>
    <definedName name="Total_Payment" localSheetId="17">Scheduled_Payment+Extra_Payment</definedName>
    <definedName name="Total_Payment" localSheetId="18">Scheduled_Payment+Extra_Payment</definedName>
    <definedName name="Total_Payment" localSheetId="19">Scheduled_Payment+Extra_Payment</definedName>
    <definedName name="Total_Payment" localSheetId="24">Scheduled_Payment+Extra_Payment</definedName>
    <definedName name="Total_Payment">Scheduled_Payment+Extra_Payment</definedName>
    <definedName name="Values_Entered" localSheetId="0">IF(Contents!Loan_Amount*Contents!Interest_Rate*Contents!Loan_Years*Contents!Loan_Start&gt;0,1,0)</definedName>
    <definedName name="Values_Entered" localSheetId="5">IF(Loan_Amount*Interest_Rate*Loan_Years*Loan_Start&gt;0,1,0)</definedName>
    <definedName name="Values_Entered" localSheetId="9">IF('Form H'!Loan_Amount*'Form H'!Interest_Rate*'Form H'!Loan_Years*'Form H'!Loan_Start&gt;0,1,0)</definedName>
    <definedName name="Values_Entered" localSheetId="10">IF('Form I'!Loan_Amount*'Form I'!Interest_Rate*'Form I'!Loan_Years*'Form I'!Loan_Start&gt;0,1,0)</definedName>
    <definedName name="Values_Entered" localSheetId="13">IF('Form L'!Loan_Amount*'Form L'!Interest_Rate*'Form L'!Loan_Years*'Form L'!Loan_Start&gt;0,1,0)</definedName>
    <definedName name="Values_Entered" localSheetId="15">IF(Loan_Amount*Interest_Rate*Loan_Years*Loan_Start&gt;0,1,0)</definedName>
    <definedName name="Values_Entered" localSheetId="17">IF('Form P'!Loan_Amount*'Form P'!Interest_Rate*'Form P'!Loan_Years*'Form P'!Loan_Start&gt;0,1,0)</definedName>
    <definedName name="Values_Entered" localSheetId="18">IF('Form Q'!Loan_Amount*'Form Q'!Interest_Rate*'Form Q'!Loan_Years*'Form Q'!Loan_Start&gt;0,1,0)</definedName>
    <definedName name="Values_Entered" localSheetId="19">IF('Form R'!Loan_Amount*'Form R'!Interest_Rate*'Form R'!Loan_Years*'Form R'!Loan_Start&gt;0,1,0)</definedName>
    <definedName name="Values_Entered" localSheetId="24">IF(Loan_Amount*Interest_Rate*Loan_Years*Loan_Start&gt;0,1,0)</definedName>
    <definedName name="Values_Entered">IF(Loan_Amount*Interest_Rate*Loan_Years*Loan_Start&gt;0,1,0)</definedName>
    <definedName name="vvv" localSheetId="0">OFFSET(Contents!Full_Print,0,0,Contents!Last_Row)</definedName>
    <definedName name="vvv" localSheetId="9">OFFSET('Form H'!Full_Print,0,0,'Form H'!Last_Row)</definedName>
    <definedName name="vvv" localSheetId="10">OFFSET('Form I'!Full_Print,0,0,'Form I'!Last_Row)</definedName>
    <definedName name="vvv" localSheetId="17">OFFSET('Form P'!Full_Print,0,0,Last_Row)</definedName>
    <definedName name="vvv" localSheetId="18">OFFSET('Form Q'!Full_Print,0,0,Last_Row)</definedName>
    <definedName name="vvv" localSheetId="19">OFFSET('Form R'!Full_Print,0,0,'Form R'!Last_Row)</definedName>
    <definedName name="vvv">OFFSET(Contents!Full_Print,0,0,Last_Row)</definedName>
    <definedName name="vxxvx" localSheetId="0">IF(Contents!Loan_Amount*Contents!Interest_Rate*Contents!Loan_Years*Contents!Loan_Start&gt;0,1,0)</definedName>
    <definedName name="vxxvx" localSheetId="9">IF('Form H'!Loan_Amount*'Form H'!Interest_Rate*'Form H'!Loan_Years*'Form H'!Loan_Start&gt;0,1,0)</definedName>
    <definedName name="vxxvx" localSheetId="10">IF('Form I'!Loan_Amount*'Form I'!Interest_Rate*'Form I'!Loan_Years*'Form I'!Loan_Start&gt;0,1,0)</definedName>
    <definedName name="vxxvx" localSheetId="17">IF('Form P'!Loan_Amount*'Form P'!Interest_Rate*'Form P'!Loan_Years*'Form P'!Loan_Start&gt;0,1,0)</definedName>
    <definedName name="vxxvx" localSheetId="18">IF('Form Q'!Loan_Amount*'Form Q'!Interest_Rate*'Form Q'!Loan_Years*'Form Q'!Loan_Start&gt;0,1,0)</definedName>
    <definedName name="vxxvx" localSheetId="19">IF('Form R'!Loan_Amount*'Form R'!Interest_Rate*'Form R'!Loan_Years*'Form R'!Loan_Start&gt;0,1,0)</definedName>
    <definedName name="vxxvx">IF(Contents!Loan_Amount*Contents!Interest_Rate*Contents!Loan_Years*Contents!Loan_Start&gt;0,1,0)</definedName>
    <definedName name="x" localSheetId="9">Scheduled_Payment+Extra_Payment</definedName>
    <definedName name="x" localSheetId="10">Scheduled_Payment+Extra_Payment</definedName>
    <definedName name="x" localSheetId="17">Scheduled_Payment+Extra_Payment</definedName>
    <definedName name="x" localSheetId="18">Scheduled_Payment+Extra_Payment</definedName>
    <definedName name="x" localSheetId="19">Scheduled_Payment+Extra_Payment</definedName>
    <definedName name="x">Scheduled_Payment+Extra_Payment</definedName>
  </definedNames>
  <calcPr calcId="152511"/>
</workbook>
</file>

<file path=xl/calcChain.xml><?xml version="1.0" encoding="utf-8"?>
<calcChain xmlns="http://schemas.openxmlformats.org/spreadsheetml/2006/main">
  <c r="D10" i="3" l="1"/>
  <c r="C46" i="16" l="1"/>
  <c r="C45" i="16"/>
  <c r="D56" i="16" l="1"/>
  <c r="Q25" i="28" l="1"/>
  <c r="Q24" i="28"/>
  <c r="G21" i="2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20" i="29" l="1"/>
  <c r="J11" i="29"/>
  <c r="J13" i="29"/>
  <c r="J16" i="29"/>
  <c r="J17" i="29"/>
  <c r="J18" i="29"/>
  <c r="J19" i="29"/>
  <c r="J21" i="29"/>
  <c r="J22" i="29"/>
  <c r="J23" i="29"/>
  <c r="D15" i="42"/>
  <c r="I27" i="3"/>
  <c r="J10" i="3"/>
  <c r="J9" i="3"/>
  <c r="J20" i="2"/>
  <c r="E20" i="2"/>
  <c r="I20" i="2" s="1"/>
  <c r="K20" i="2" s="1"/>
  <c r="L20" i="2" l="1"/>
  <c r="M20" i="2" s="1"/>
  <c r="E10" i="3" l="1"/>
  <c r="E13" i="3"/>
  <c r="Q17" i="28" l="1"/>
  <c r="P16" i="28"/>
  <c r="O16" i="28"/>
  <c r="K16" i="28"/>
  <c r="G16" i="28"/>
  <c r="N15" i="28"/>
  <c r="N16" i="28" s="1"/>
  <c r="M15" i="28"/>
  <c r="M16" i="28" s="1"/>
  <c r="L15" i="28"/>
  <c r="L16" i="28" s="1"/>
  <c r="J15" i="28"/>
  <c r="J16" i="28" s="1"/>
  <c r="I15" i="28"/>
  <c r="I16" i="28" s="1"/>
  <c r="H15" i="28"/>
  <c r="F15" i="28"/>
  <c r="F16" i="28" s="1"/>
  <c r="E15" i="28"/>
  <c r="E16" i="28" s="1"/>
  <c r="D15" i="28"/>
  <c r="D16" i="28" s="1"/>
  <c r="H14" i="28"/>
  <c r="Q14" i="28" s="1"/>
  <c r="E23" i="3"/>
  <c r="E16" i="3"/>
  <c r="Q15" i="28" l="1"/>
  <c r="H16" i="28"/>
  <c r="Q16" i="28" s="1"/>
  <c r="C75" i="16" l="1"/>
  <c r="C25" i="16" l="1"/>
  <c r="C34" i="15"/>
  <c r="C31" i="15"/>
  <c r="C24" i="15"/>
  <c r="C32" i="16" s="1"/>
  <c r="C23" i="15"/>
  <c r="C22" i="15"/>
  <c r="C31" i="16" s="1"/>
  <c r="C18" i="14"/>
  <c r="C17" i="14"/>
  <c r="C11" i="14"/>
  <c r="C10" i="14"/>
  <c r="D23" i="30" l="1"/>
  <c r="C23" i="30"/>
  <c r="F27" i="17"/>
  <c r="F28" i="17"/>
  <c r="E29" i="17"/>
  <c r="D29" i="17"/>
  <c r="C29" i="17"/>
  <c r="C13" i="11"/>
  <c r="C15" i="6" l="1"/>
  <c r="C28" i="6"/>
  <c r="C25" i="6"/>
  <c r="C18" i="6"/>
  <c r="C16" i="6"/>
  <c r="C14" i="6"/>
  <c r="C13" i="6"/>
  <c r="C10" i="6"/>
  <c r="C9" i="6"/>
  <c r="C8" i="6"/>
  <c r="C20" i="5"/>
  <c r="C8" i="5"/>
  <c r="D34" i="4"/>
  <c r="D24" i="23" l="1"/>
  <c r="C10" i="42" l="1"/>
  <c r="C9" i="42"/>
  <c r="D19" i="3"/>
  <c r="E22" i="3"/>
  <c r="E19" i="3"/>
  <c r="E14" i="3"/>
  <c r="E11" i="3"/>
  <c r="C10" i="3"/>
  <c r="E9" i="3"/>
  <c r="D9" i="3"/>
  <c r="C9" i="3"/>
  <c r="C25" i="3" s="1"/>
  <c r="E27" i="3" l="1"/>
  <c r="E30" i="3" s="1"/>
  <c r="F19" i="3"/>
  <c r="H11" i="2"/>
  <c r="I11" i="2" s="1"/>
  <c r="K11" i="2" s="1"/>
  <c r="L9" i="3" l="1"/>
  <c r="L10" i="3"/>
  <c r="L11" i="3" l="1"/>
  <c r="G25" i="3" l="1"/>
  <c r="E33" i="6" l="1"/>
  <c r="F31" i="6"/>
  <c r="F28" i="6"/>
  <c r="F26" i="6"/>
  <c r="F25" i="6"/>
  <c r="E19" i="6"/>
  <c r="F18" i="6"/>
  <c r="F16" i="6"/>
  <c r="F15" i="6"/>
  <c r="F14" i="6"/>
  <c r="F13" i="6"/>
  <c r="F12" i="6"/>
  <c r="F10" i="6"/>
  <c r="F9" i="6"/>
  <c r="F8" i="6"/>
  <c r="I30" i="3"/>
  <c r="I25" i="3"/>
  <c r="F19" i="6" l="1"/>
  <c r="F33" i="6"/>
  <c r="F38" i="6" s="1"/>
  <c r="E38" i="6"/>
  <c r="I32" i="3"/>
  <c r="F11" i="27" l="1"/>
  <c r="F26" i="17" l="1"/>
  <c r="F25" i="17"/>
  <c r="F24" i="17"/>
  <c r="J29" i="17" l="1"/>
  <c r="I29" i="17"/>
  <c r="H29" i="17"/>
  <c r="D21" i="26" s="1"/>
  <c r="G29" i="17"/>
  <c r="H11" i="27" l="1"/>
  <c r="J11" i="27" s="1"/>
  <c r="C47" i="16"/>
  <c r="C27" i="15"/>
  <c r="D19" i="14"/>
  <c r="C15" i="26"/>
  <c r="C15" i="42"/>
  <c r="D72" i="16"/>
  <c r="D22" i="15"/>
  <c r="D27" i="15" s="1"/>
  <c r="J11" i="2"/>
  <c r="C12" i="30"/>
  <c r="D12" i="30"/>
  <c r="E12" i="30"/>
  <c r="C13" i="30"/>
  <c r="D13" i="30"/>
  <c r="E13" i="30"/>
  <c r="C14" i="30"/>
  <c r="D14" i="30"/>
  <c r="E14" i="30"/>
  <c r="C15" i="30"/>
  <c r="D15" i="30"/>
  <c r="E15" i="30"/>
  <c r="C16" i="30"/>
  <c r="D16" i="30"/>
  <c r="E16" i="30"/>
  <c r="C17" i="30"/>
  <c r="D17" i="30"/>
  <c r="E17" i="30"/>
  <c r="C18" i="30"/>
  <c r="D18" i="30"/>
  <c r="E18" i="30"/>
  <c r="C19" i="30"/>
  <c r="D19" i="30"/>
  <c r="E19" i="30"/>
  <c r="C20" i="30"/>
  <c r="D20" i="30"/>
  <c r="E20" i="30"/>
  <c r="C21" i="30"/>
  <c r="D21" i="30"/>
  <c r="E21" i="30"/>
  <c r="C22" i="30"/>
  <c r="D22" i="30"/>
  <c r="E22" i="30"/>
  <c r="E23" i="30"/>
  <c r="E11" i="30"/>
  <c r="D11" i="30"/>
  <c r="C11" i="30"/>
  <c r="F12" i="29"/>
  <c r="F13" i="29"/>
  <c r="F14" i="29"/>
  <c r="F15" i="29"/>
  <c r="F16" i="29"/>
  <c r="F17" i="29"/>
  <c r="F18" i="29"/>
  <c r="F19" i="29"/>
  <c r="F20" i="29"/>
  <c r="F21" i="29"/>
  <c r="F22" i="29"/>
  <c r="F23" i="29"/>
  <c r="F11" i="29"/>
  <c r="D33" i="6"/>
  <c r="C12" i="26"/>
  <c r="C10" i="26" s="1"/>
  <c r="D12" i="26"/>
  <c r="D17" i="25"/>
  <c r="C28" i="25"/>
  <c r="D28" i="25"/>
  <c r="C30" i="25"/>
  <c r="D30" i="25"/>
  <c r="H11" i="30"/>
  <c r="I11" i="30"/>
  <c r="H12" i="30"/>
  <c r="I12" i="30"/>
  <c r="H13" i="30"/>
  <c r="I13" i="30"/>
  <c r="H14" i="30"/>
  <c r="I14" i="30"/>
  <c r="H15" i="30"/>
  <c r="I15" i="30"/>
  <c r="H16" i="30"/>
  <c r="I16" i="30"/>
  <c r="H17" i="30"/>
  <c r="I17" i="30"/>
  <c r="H18" i="30"/>
  <c r="I18" i="30"/>
  <c r="H19" i="30"/>
  <c r="I19" i="30"/>
  <c r="H20" i="30"/>
  <c r="I20" i="30"/>
  <c r="H21" i="30"/>
  <c r="I21" i="30"/>
  <c r="H22" i="30"/>
  <c r="I22" i="30"/>
  <c r="H23" i="30"/>
  <c r="I23" i="30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D16" i="23"/>
  <c r="D26" i="23" s="1"/>
  <c r="E16" i="23"/>
  <c r="E24" i="23"/>
  <c r="C11" i="19"/>
  <c r="D11" i="19"/>
  <c r="C18" i="39"/>
  <c r="D18" i="39"/>
  <c r="C17" i="11"/>
  <c r="B27" i="1" s="1"/>
  <c r="D17" i="11"/>
  <c r="D27" i="1" s="1"/>
  <c r="C24" i="29"/>
  <c r="D24" i="29"/>
  <c r="C12" i="16" s="1"/>
  <c r="C17" i="16" s="1"/>
  <c r="E24" i="29"/>
  <c r="H24" i="29"/>
  <c r="D25" i="1" s="1"/>
  <c r="D12" i="16" s="1"/>
  <c r="D17" i="16" s="1"/>
  <c r="I24" i="29"/>
  <c r="D19" i="6"/>
  <c r="C19" i="6"/>
  <c r="C33" i="6"/>
  <c r="C13" i="5"/>
  <c r="D13" i="5"/>
  <c r="C19" i="5"/>
  <c r="D19" i="5"/>
  <c r="D23" i="5" s="1"/>
  <c r="D21" i="1" s="1"/>
  <c r="C22" i="5"/>
  <c r="D22" i="5"/>
  <c r="E18" i="4"/>
  <c r="H18" i="4"/>
  <c r="E34" i="4"/>
  <c r="H34" i="4"/>
  <c r="C23" i="42"/>
  <c r="C39" i="42"/>
  <c r="D40" i="42"/>
  <c r="D13" i="1" s="1"/>
  <c r="D15" i="34" s="1"/>
  <c r="D9" i="1"/>
  <c r="C21" i="16"/>
  <c r="D34" i="16"/>
  <c r="D44" i="16"/>
  <c r="D47" i="16" s="1"/>
  <c r="D57" i="16"/>
  <c r="D62" i="16"/>
  <c r="C36" i="15"/>
  <c r="D36" i="15"/>
  <c r="C13" i="14"/>
  <c r="E20" i="36" s="1"/>
  <c r="E21" i="36" s="1"/>
  <c r="D13" i="14"/>
  <c r="C19" i="14"/>
  <c r="C57" i="16"/>
  <c r="D21" i="14"/>
  <c r="B36" i="1"/>
  <c r="D36" i="1"/>
  <c r="D20" i="16" s="1"/>
  <c r="D21" i="16" s="1"/>
  <c r="D6" i="15"/>
  <c r="E27" i="36"/>
  <c r="G24" i="29"/>
  <c r="E26" i="23" l="1"/>
  <c r="D34" i="1" s="1"/>
  <c r="D10" i="26"/>
  <c r="D17" i="26" s="1"/>
  <c r="D26" i="26" s="1"/>
  <c r="D10" i="25" s="1"/>
  <c r="D9" i="15" s="1"/>
  <c r="H49" i="4"/>
  <c r="D19" i="1" s="1"/>
  <c r="J14" i="30"/>
  <c r="F29" i="17"/>
  <c r="C6" i="15"/>
  <c r="B25" i="1"/>
  <c r="B34" i="1"/>
  <c r="D63" i="16"/>
  <c r="D48" i="16"/>
  <c r="J11" i="30"/>
  <c r="F15" i="30"/>
  <c r="F14" i="30"/>
  <c r="C17" i="26"/>
  <c r="C68" i="16" s="1"/>
  <c r="C72" i="16" s="1"/>
  <c r="D23" i="14"/>
  <c r="D38" i="15"/>
  <c r="D38" i="6"/>
  <c r="D23" i="1" s="1"/>
  <c r="J13" i="30"/>
  <c r="J19" i="30"/>
  <c r="D38" i="1"/>
  <c r="C38" i="15"/>
  <c r="C23" i="14"/>
  <c r="C17" i="25"/>
  <c r="J16" i="30"/>
  <c r="C34" i="16"/>
  <c r="C48" i="16" s="1"/>
  <c r="F19" i="30"/>
  <c r="F20" i="30"/>
  <c r="F22" i="30"/>
  <c r="H24" i="30"/>
  <c r="F11" i="30"/>
  <c r="J22" i="30"/>
  <c r="J20" i="30"/>
  <c r="J18" i="30"/>
  <c r="J12" i="30"/>
  <c r="F23" i="30"/>
  <c r="F21" i="30"/>
  <c r="F18" i="30"/>
  <c r="F16" i="30"/>
  <c r="D24" i="30"/>
  <c r="F12" i="30"/>
  <c r="J15" i="30"/>
  <c r="L11" i="2"/>
  <c r="F17" i="30"/>
  <c r="F24" i="29"/>
  <c r="C7" i="15" s="1"/>
  <c r="E24" i="30"/>
  <c r="I24" i="30"/>
  <c r="J24" i="29"/>
  <c r="D7" i="15" s="1"/>
  <c r="D8" i="15" s="1"/>
  <c r="J23" i="30"/>
  <c r="J21" i="30"/>
  <c r="J17" i="30"/>
  <c r="C38" i="6"/>
  <c r="B23" i="1" s="1"/>
  <c r="C23" i="5"/>
  <c r="B21" i="1" s="1"/>
  <c r="E49" i="4"/>
  <c r="B19" i="1" s="1"/>
  <c r="C40" i="42"/>
  <c r="B13" i="1" s="1"/>
  <c r="C15" i="34" s="1"/>
  <c r="D8" i="25"/>
  <c r="E15" i="1"/>
  <c r="D15" i="1"/>
  <c r="C24" i="30"/>
  <c r="F13" i="30"/>
  <c r="G24" i="30"/>
  <c r="D20" i="25" l="1"/>
  <c r="D14" i="15"/>
  <c r="D40" i="15" s="1"/>
  <c r="F39" i="15" s="1"/>
  <c r="D24" i="25"/>
  <c r="D32" i="25" s="1"/>
  <c r="D29" i="1"/>
  <c r="D40" i="1" s="1"/>
  <c r="D13" i="34" s="1"/>
  <c r="D17" i="34" s="1"/>
  <c r="E5" i="36"/>
  <c r="C8" i="25"/>
  <c r="C8" i="15"/>
  <c r="C24" i="25"/>
  <c r="C32" i="25" s="1"/>
  <c r="B38" i="1"/>
  <c r="C26" i="26"/>
  <c r="C10" i="25" s="1"/>
  <c r="C9" i="15" s="1"/>
  <c r="M11" i="2"/>
  <c r="F24" i="30"/>
  <c r="J24" i="30"/>
  <c r="B29" i="1"/>
  <c r="E4" i="36"/>
  <c r="D34" i="25" l="1"/>
  <c r="D7" i="34" s="1"/>
  <c r="B40" i="1"/>
  <c r="C40" i="1" s="1"/>
  <c r="D41" i="15"/>
  <c r="C14" i="15"/>
  <c r="C40" i="15" s="1"/>
  <c r="C41" i="15" s="1"/>
  <c r="C20" i="25"/>
  <c r="C34" i="25" s="1"/>
  <c r="C7" i="34" s="1"/>
  <c r="E17" i="36" s="1"/>
  <c r="E18" i="36" s="1"/>
  <c r="E40" i="1"/>
  <c r="E43" i="1" s="1"/>
  <c r="D7" i="16" s="1"/>
  <c r="D9" i="16" s="1"/>
  <c r="D22" i="16" s="1"/>
  <c r="D27" i="16" s="1"/>
  <c r="D49" i="16" s="1"/>
  <c r="D51" i="16" s="1"/>
  <c r="D66" i="16" s="1"/>
  <c r="D74" i="16" s="1"/>
  <c r="D76" i="16" s="1"/>
  <c r="D92" i="16" s="1"/>
  <c r="C13" i="34" l="1"/>
  <c r="F9" i="3"/>
  <c r="C61" i="16" l="1"/>
  <c r="C62" i="16" s="1"/>
  <c r="C63" i="16" s="1"/>
  <c r="D11" i="3" l="1"/>
  <c r="F11" i="3" s="1"/>
  <c r="E25" i="3" l="1"/>
  <c r="E11" i="27"/>
  <c r="F10" i="3"/>
  <c r="R15" i="28" l="1"/>
  <c r="E32" i="3"/>
  <c r="B9" i="1" s="1"/>
  <c r="B15" i="1" s="1"/>
  <c r="C15" i="1" s="1"/>
  <c r="C43" i="1" s="1"/>
  <c r="C7" i="16" s="1"/>
  <c r="C9" i="16" s="1"/>
  <c r="C22" i="16" s="1"/>
  <c r="C27" i="16" s="1"/>
  <c r="C49" i="16" s="1"/>
  <c r="C51" i="16" s="1"/>
  <c r="C66" i="16" s="1"/>
  <c r="C74" i="16" s="1"/>
  <c r="C76" i="16" s="1"/>
  <c r="C92" i="16" s="1"/>
  <c r="E6" i="36"/>
  <c r="E8" i="36" s="1"/>
  <c r="E10" i="36" s="1"/>
  <c r="E29" i="36" s="1"/>
  <c r="E32" i="36" s="1"/>
  <c r="C11" i="34" s="1"/>
  <c r="C17" i="34" s="1"/>
  <c r="G11" i="27"/>
  <c r="I11" i="27" s="1"/>
</calcChain>
</file>

<file path=xl/sharedStrings.xml><?xml version="1.0" encoding="utf-8"?>
<sst xmlns="http://schemas.openxmlformats.org/spreadsheetml/2006/main" count="1460" uniqueCount="681">
  <si>
    <t>INCOME</t>
  </si>
  <si>
    <t>EXPENDITURE</t>
  </si>
  <si>
    <t>FORM B</t>
  </si>
  <si>
    <t>Particulars</t>
  </si>
  <si>
    <t>FORM F</t>
  </si>
  <si>
    <t>Charges</t>
  </si>
  <si>
    <t>FORM G</t>
  </si>
  <si>
    <t>FORM J</t>
  </si>
  <si>
    <t>OPERATION AND MAINTENANCE COST</t>
  </si>
  <si>
    <t>EMPLOYEE COST</t>
  </si>
  <si>
    <t>Salaries</t>
  </si>
  <si>
    <t>ADMINISTRATION &amp; GENERAL CHARGES</t>
  </si>
  <si>
    <t>DEPRECIATION</t>
  </si>
  <si>
    <t>Less:</t>
  </si>
  <si>
    <t>PROFIT AND LOSS ACCOUNT</t>
  </si>
  <si>
    <t xml:space="preserve"> (a) Revenue from sale of power</t>
  </si>
  <si>
    <t xml:space="preserve"> (b) Revenue from subsidies &amp; grants</t>
  </si>
  <si>
    <t>nil</t>
  </si>
  <si>
    <t>(a) Operation &amp; Maintenance Cost</t>
  </si>
  <si>
    <t>(b) Employee Cost</t>
  </si>
  <si>
    <t>(c) Administration &amp; General Expenses</t>
  </si>
  <si>
    <t>(d) Depreciation</t>
  </si>
  <si>
    <t>(f) Sub Total (a+b+c+d+e)</t>
  </si>
  <si>
    <t>(g) Less Capitalised expenses</t>
  </si>
  <si>
    <t>(h) Other Debits</t>
  </si>
  <si>
    <t>(j) Purchase of power</t>
  </si>
  <si>
    <t>Total Expenditure</t>
  </si>
  <si>
    <t>Sl No.</t>
  </si>
  <si>
    <t>Source</t>
  </si>
  <si>
    <t xml:space="preserve">Units </t>
  </si>
  <si>
    <t>purchased</t>
  </si>
  <si>
    <t>Fixed</t>
  </si>
  <si>
    <t>Charges(Rs)</t>
  </si>
  <si>
    <t>Variable Charges Ps k Wh</t>
  </si>
  <si>
    <t xml:space="preserve">Variable </t>
  </si>
  <si>
    <t>Fuel Escln</t>
  </si>
  <si>
    <t>Charge</t>
  </si>
  <si>
    <t>Other</t>
  </si>
  <si>
    <t>Total</t>
  </si>
  <si>
    <t xml:space="preserve">Fixed </t>
  </si>
  <si>
    <t>Variable</t>
  </si>
  <si>
    <t>Average</t>
  </si>
  <si>
    <t>rate/unit</t>
  </si>
  <si>
    <t>Total cost of power at each interface point</t>
  </si>
  <si>
    <t>KSEB</t>
  </si>
  <si>
    <t xml:space="preserve">No. of </t>
  </si>
  <si>
    <t>Consumers</t>
  </si>
  <si>
    <t>Energy Sold</t>
  </si>
  <si>
    <t>MU</t>
  </si>
  <si>
    <t>Revenue</t>
  </si>
  <si>
    <t>Rs</t>
  </si>
  <si>
    <t>Realzn/kwh</t>
  </si>
  <si>
    <t>Consumer Category wise</t>
  </si>
  <si>
    <t>(I) HT Consumers</t>
  </si>
  <si>
    <t>II</t>
  </si>
  <si>
    <t>I</t>
  </si>
  <si>
    <t>Recovery of electicity dues and</t>
  </si>
  <si>
    <t>III</t>
  </si>
  <si>
    <t>Wheeling charges recovery</t>
  </si>
  <si>
    <t>IV</t>
  </si>
  <si>
    <t>Misc. charges from consumers</t>
  </si>
  <si>
    <t>(I)Fuse off calls</t>
  </si>
  <si>
    <t>(ii) Reconnection fee</t>
  </si>
  <si>
    <t>(iii) Public Lighting</t>
  </si>
  <si>
    <t>(iv) Maintenance Charges</t>
  </si>
  <si>
    <t>(v) Service connection charges</t>
  </si>
  <si>
    <t>(vi) Delayed payment charges</t>
  </si>
  <si>
    <t>(vii) Other receipts</t>
  </si>
  <si>
    <t>Total of IV</t>
  </si>
  <si>
    <t xml:space="preserve">V </t>
  </si>
  <si>
    <t xml:space="preserve"> </t>
  </si>
  <si>
    <t>VI</t>
  </si>
  <si>
    <t>Less</t>
  </si>
  <si>
    <t>(I) Electricity duty payable</t>
  </si>
  <si>
    <t>Total of VI</t>
  </si>
  <si>
    <t>VII</t>
  </si>
  <si>
    <t>Grand Total</t>
  </si>
  <si>
    <t>HT</t>
  </si>
  <si>
    <t>other state levies( included in revenue)</t>
  </si>
  <si>
    <t>Sl. No.</t>
  </si>
  <si>
    <t>Consmption</t>
  </si>
  <si>
    <t>of stores, fuel</t>
  </si>
  <si>
    <t>&amp; power</t>
  </si>
  <si>
    <t xml:space="preserve">Other </t>
  </si>
  <si>
    <t>expenses</t>
  </si>
  <si>
    <t xml:space="preserve">Particulars              </t>
  </si>
  <si>
    <t>(a) Civil Works associated</t>
  </si>
  <si>
    <t>with Power stations</t>
  </si>
  <si>
    <t xml:space="preserve">(i) Dams/other </t>
  </si>
  <si>
    <t>hydraulic structures</t>
  </si>
  <si>
    <t xml:space="preserve">(ii) Water Conducting </t>
  </si>
  <si>
    <t>systems</t>
  </si>
  <si>
    <t xml:space="preserve">(iii) Power house </t>
  </si>
  <si>
    <t>buildings</t>
  </si>
  <si>
    <t>(iv) Other buildings</t>
  </si>
  <si>
    <t>(v) Roads</t>
  </si>
  <si>
    <t>(b) Other Civil Works</t>
  </si>
  <si>
    <t>Generating Plant</t>
  </si>
  <si>
    <t>&amp; Machinery</t>
  </si>
  <si>
    <t xml:space="preserve">Power House switch </t>
  </si>
  <si>
    <t>yard &amp; equipment</t>
  </si>
  <si>
    <t>Transmission Lines</t>
  </si>
  <si>
    <t>Substations</t>
  </si>
  <si>
    <t xml:space="preserve">11kv lines &amp; </t>
  </si>
  <si>
    <t>associated works</t>
  </si>
  <si>
    <t>11/0.4 kv transformer</t>
  </si>
  <si>
    <t>LT Lines service</t>
  </si>
  <si>
    <t>connections etc</t>
  </si>
  <si>
    <t>Vehicles</t>
  </si>
  <si>
    <t>Furniture &amp; fittings</t>
  </si>
  <si>
    <t>Office Eqpmnt</t>
  </si>
  <si>
    <t>Others</t>
  </si>
  <si>
    <t xml:space="preserve">Particulars   </t>
  </si>
  <si>
    <t>Rent, Rates &amp; Taxes</t>
  </si>
  <si>
    <t>Security charges</t>
  </si>
  <si>
    <t>Insurance</t>
  </si>
  <si>
    <t>Telephone/ Telex charges</t>
  </si>
  <si>
    <t>Internet &amp; Related Charges</t>
  </si>
  <si>
    <t>Audit Fees</t>
  </si>
  <si>
    <t>Consultancy Charges</t>
  </si>
  <si>
    <t>Travelling Expenses</t>
  </si>
  <si>
    <t>Sub Total</t>
  </si>
  <si>
    <t>OTHER EXPENSES</t>
  </si>
  <si>
    <t>(A) Fees and subscriptions</t>
  </si>
  <si>
    <t>(B) Books &amp; Periodicals</t>
  </si>
  <si>
    <t>( c) Computer Stationery</t>
  </si>
  <si>
    <t>(d) Printing &amp; Stationery</t>
  </si>
  <si>
    <t>(e) Advertisements</t>
  </si>
  <si>
    <t>(f) Contributions/ Donations</t>
  </si>
  <si>
    <t>(g) Electricity Charges</t>
  </si>
  <si>
    <t>(h) Water Charges</t>
  </si>
  <si>
    <t>(i) Entertainment</t>
  </si>
  <si>
    <t>(j) Miscellaneous expenses</t>
  </si>
  <si>
    <t>Total of Other expenses</t>
  </si>
  <si>
    <t>Freight</t>
  </si>
  <si>
    <t>Other Purchase related expenses</t>
  </si>
  <si>
    <t>Depreciation</t>
  </si>
  <si>
    <t>FORM O</t>
  </si>
  <si>
    <t>INTEREST CHARGES</t>
  </si>
  <si>
    <t>Total Income</t>
  </si>
  <si>
    <t>Excess of Income over Expenditure</t>
  </si>
  <si>
    <t>(e) Interest &amp; Finance charges</t>
  </si>
  <si>
    <t>(II) LT CONSUMERS</t>
  </si>
  <si>
    <t>Ref. Form No.</t>
  </si>
  <si>
    <t>FORM C</t>
  </si>
  <si>
    <t>BALANCE SHEET AS AT THE END OF THE YEAR</t>
  </si>
  <si>
    <t>Sources of Funds:</t>
  </si>
  <si>
    <t>(A)  Capital Funds:</t>
  </si>
  <si>
    <t>Reserves &amp; Surplus</t>
  </si>
  <si>
    <t>Total (A)</t>
  </si>
  <si>
    <t>(B)  Loan from State Govt.</t>
  </si>
  <si>
    <t>Loan from Others</t>
  </si>
  <si>
    <t>Unsecured</t>
  </si>
  <si>
    <t>Secured</t>
  </si>
  <si>
    <t>Total (B)</t>
  </si>
  <si>
    <t>(C ) Contribution, grants &amp; subsidies towards cost of capital assets</t>
  </si>
  <si>
    <t>Grand Total of sources of funds (A) + (B) + (C )</t>
  </si>
  <si>
    <t>U</t>
  </si>
  <si>
    <t>Application of Funds</t>
  </si>
  <si>
    <t>(A)  Fixed assets</t>
  </si>
  <si>
    <t>(a) Gross fixed assets</t>
  </si>
  <si>
    <t>(b) Less acumulated depreciation</t>
  </si>
  <si>
    <t>(c ) Net fixed assets (a-b)</t>
  </si>
  <si>
    <t>(d) Capital works in progress</t>
  </si>
  <si>
    <t>(e) Assets not in use</t>
  </si>
  <si>
    <t>(f) Deferred costs</t>
  </si>
  <si>
    <t>(g) Intangible assets</t>
  </si>
  <si>
    <t>Total (c ) + (d) + (f) + (g)</t>
  </si>
  <si>
    <t>W</t>
  </si>
  <si>
    <t>X</t>
  </si>
  <si>
    <t>(B)  Subsidy Receivable From Govt.</t>
  </si>
  <si>
    <t>(1)  Current Assets, loans &amp; advances</t>
  </si>
  <si>
    <t>(a)  Inventories</t>
  </si>
  <si>
    <t>(b)  Receivables against sale of Power</t>
  </si>
  <si>
    <t>(c ) Cash &amp; Bank balances</t>
  </si>
  <si>
    <t>(d) Loans and advances</t>
  </si>
  <si>
    <t>(e)  Sundry receivables</t>
  </si>
  <si>
    <t>Total (C ) (1)</t>
  </si>
  <si>
    <t>(2)  Current Liabilities &amp; Provisions</t>
  </si>
  <si>
    <t>(a) Security deposit from consumers</t>
  </si>
  <si>
    <t>(b)  Borrowings for working capital</t>
  </si>
  <si>
    <t>(c ) Payments due on Capital liabilities</t>
  </si>
  <si>
    <t>(d)  Other current liabilities</t>
  </si>
  <si>
    <t>Total (C ) (2)</t>
  </si>
  <si>
    <t>Net Current Assets (C )</t>
  </si>
  <si>
    <t>[ (C )(1) - (C )(2)]</t>
  </si>
  <si>
    <t>Grand Total of Application of funds (A) + (B) + (C )</t>
  </si>
  <si>
    <t>Note :- For the projection of current assets and current liabilities, working sheets showing the calculations along with assumptions upon which they are based should be furnished.</t>
  </si>
  <si>
    <t>Y</t>
  </si>
  <si>
    <t>Form D</t>
  </si>
  <si>
    <t>CASH FLOW STATEMENT FOR THE YEAR</t>
  </si>
  <si>
    <t>Net Funds from Operations</t>
  </si>
  <si>
    <t>(a)</t>
  </si>
  <si>
    <t xml:space="preserve">Profit before tax and before revenue subsidies and grants </t>
  </si>
  <si>
    <t>Less:  Income Tax payment during the year</t>
  </si>
  <si>
    <t>Total of (a)</t>
  </si>
  <si>
    <t>(b)</t>
  </si>
  <si>
    <t>Add:  Debits to Revenue account Not requiring cash flow:</t>
  </si>
  <si>
    <t>i</t>
  </si>
  <si>
    <t>ii</t>
  </si>
  <si>
    <t>Amortisation of deferred cost</t>
  </si>
  <si>
    <t>iii</t>
  </si>
  <si>
    <t>Amortisation of intangible assets</t>
  </si>
  <si>
    <t>iv</t>
  </si>
  <si>
    <t>Investment allowance reserve</t>
  </si>
  <si>
    <t>v</t>
  </si>
  <si>
    <t>Others, if any</t>
  </si>
  <si>
    <t>Total of (b)</t>
  </si>
  <si>
    <t>Contributions, grants and subsidies towards cost of capital assets</t>
  </si>
  <si>
    <t>Security deposits from consumers</t>
  </si>
  <si>
    <t>Proceeds from disposal of fixed assets</t>
  </si>
  <si>
    <t>Total funds from Operation (1+2+3+4)</t>
  </si>
  <si>
    <t>Net increase/decrease in working capital</t>
  </si>
  <si>
    <t>Increase (decrease) in current assets</t>
  </si>
  <si>
    <t>Inventories</t>
  </si>
  <si>
    <t>Receivables against sale of power</t>
  </si>
  <si>
    <t>Loans &amp; advances</t>
  </si>
  <si>
    <t>Sundry receivables</t>
  </si>
  <si>
    <t>Increase (decrease) in current liabilities</t>
  </si>
  <si>
    <t>Borrowings for working capital</t>
  </si>
  <si>
    <t>Other current liabilities- power purchase</t>
  </si>
  <si>
    <t>Net increase/decrease in working capital (a) - (b)</t>
  </si>
  <si>
    <t>Net funds from operations before subsidies &amp; grants (5 - 6)</t>
  </si>
  <si>
    <t>Receipts from revenue subsidies and grants</t>
  </si>
  <si>
    <t>Total net funds from operations including subsidies and grants (7 +8)</t>
  </si>
  <si>
    <t>Net funds from earnings</t>
  </si>
  <si>
    <t>Net increase/decrease in capital liabilities</t>
  </si>
  <si>
    <t>Fresh borrowings</t>
  </si>
  <si>
    <t>State Loans</t>
  </si>
  <si>
    <t>Foreign currency loans/credits</t>
  </si>
  <si>
    <t>Other borrowings</t>
  </si>
  <si>
    <t>Repayments</t>
  </si>
  <si>
    <t>Net incerase (decrease) in capital liabilities (a) -(b)</t>
  </si>
  <si>
    <t>Increase/ (decrease) in equity capital</t>
  </si>
  <si>
    <t>Total funds available for capital expenditure (I+II+III)</t>
  </si>
  <si>
    <t>V</t>
  </si>
  <si>
    <t>Funds utilised on capital expenditure</t>
  </si>
  <si>
    <t>On projects</t>
  </si>
  <si>
    <t>Advances to suppliers and contractors</t>
  </si>
  <si>
    <t>(c )</t>
  </si>
  <si>
    <t>Intangible assets</t>
  </si>
  <si>
    <t>(d)</t>
  </si>
  <si>
    <t>Deferred cost</t>
  </si>
  <si>
    <t>Total of V (a+b+c+d)</t>
  </si>
  <si>
    <t>Net increase/(decrease) in investments</t>
  </si>
  <si>
    <t>Net increase/ (decrease) in cash/bank balance [IV-V-VI]</t>
  </si>
  <si>
    <t>VIII</t>
  </si>
  <si>
    <t>Add opening cash and bank balances</t>
  </si>
  <si>
    <t>IX</t>
  </si>
  <si>
    <t>Closing cash and bank balances (VII-VIII)</t>
  </si>
  <si>
    <t>Form V</t>
  </si>
  <si>
    <t>GROSS FIXED ASSETS</t>
  </si>
  <si>
    <t>(Rs. In crores)</t>
  </si>
  <si>
    <t>Sl. No</t>
  </si>
  <si>
    <t>Deprectiation of Assets</t>
  </si>
  <si>
    <t>Balance at the beginning of the year</t>
  </si>
  <si>
    <t>Additions during the year</t>
  </si>
  <si>
    <t>Retirement of assets during the year</t>
  </si>
  <si>
    <t>Balance at the end of the year</t>
  </si>
  <si>
    <t>Land &amp; Rights</t>
  </si>
  <si>
    <t>Generating Stations*</t>
  </si>
  <si>
    <t>Civil Works</t>
  </si>
  <si>
    <t>Generating Plant &amp; Machinery</t>
  </si>
  <si>
    <t>Switchyard equipment</t>
  </si>
  <si>
    <t>Protection &amp; control equipment</t>
  </si>
  <si>
    <t>(e)</t>
  </si>
  <si>
    <t>Others (specify)</t>
  </si>
  <si>
    <t>Transmission Lines **</t>
  </si>
  <si>
    <t>Substations **</t>
  </si>
  <si>
    <t>11kV Works***</t>
  </si>
  <si>
    <t>LT Lines, Service connections, etc ***</t>
  </si>
  <si>
    <t>Metering Equipment***</t>
  </si>
  <si>
    <t>Miscellaneous equipment</t>
  </si>
  <si>
    <t>Others (provide list)</t>
  </si>
  <si>
    <t>*</t>
  </si>
  <si>
    <t>Project-wise break up should be furnished</t>
  </si>
  <si>
    <t>**</t>
  </si>
  <si>
    <t>Details must be furnished for each transmission project</t>
  </si>
  <si>
    <t>***</t>
  </si>
  <si>
    <t>Breakup as per practice should be furnished</t>
  </si>
  <si>
    <t>Form W</t>
  </si>
  <si>
    <t>NET FIXED ASSETS</t>
  </si>
  <si>
    <t>Addition of assets during the year</t>
  </si>
  <si>
    <t>Net depreciation for the year</t>
  </si>
  <si>
    <t>Balance of written down cost of assets at the end of the year</t>
  </si>
  <si>
    <t>Sl No</t>
  </si>
  <si>
    <t>Item</t>
  </si>
  <si>
    <t>FORM T</t>
  </si>
  <si>
    <t>Sl . No.</t>
  </si>
  <si>
    <t>Income Relating to Previous Years</t>
  </si>
  <si>
    <t>NIL</t>
  </si>
  <si>
    <t>Expenditure Relating to Previous Years</t>
  </si>
  <si>
    <t>FORM U</t>
  </si>
  <si>
    <t>CONTRIBUTIONS, GRANTS AND SUBSIDIES TOWARDS</t>
  </si>
  <si>
    <t>COST OF CAPITAL ASSETS</t>
  </si>
  <si>
    <t>Balance at Beg.</t>
  </si>
  <si>
    <t xml:space="preserve">Addtions during </t>
  </si>
  <si>
    <t xml:space="preserve">Balance at the  </t>
  </si>
  <si>
    <t>of the year</t>
  </si>
  <si>
    <t>the year</t>
  </si>
  <si>
    <t>end of the year</t>
  </si>
  <si>
    <t>Consumers Contribution</t>
  </si>
  <si>
    <t>Nil</t>
  </si>
  <si>
    <t xml:space="preserve">Subsidies towards </t>
  </si>
  <si>
    <t>cost of capital assets</t>
  </si>
  <si>
    <t>Grant Towards cost of</t>
  </si>
  <si>
    <t>capital assets</t>
  </si>
  <si>
    <t>FORM W1</t>
  </si>
  <si>
    <t>CAPITAL BASE</t>
  </si>
  <si>
    <t>Original Cost of Fixed Assets</t>
  </si>
  <si>
    <t>Cost of Intangible Assets</t>
  </si>
  <si>
    <t>Original Cost of Work in Progress</t>
  </si>
  <si>
    <t>Amount on account of working</t>
  </si>
  <si>
    <t xml:space="preserve">capital equal to the sum of </t>
  </si>
  <si>
    <t>(i) Average Cost of stores</t>
  </si>
  <si>
    <t>(ii) Average cash and bank balances</t>
  </si>
  <si>
    <t>Sum of above (a+b+c+d)</t>
  </si>
  <si>
    <t>Sum of the above 2 (i+ii+iii+iv)</t>
  </si>
  <si>
    <t>Net Capital Base (1-2)</t>
  </si>
  <si>
    <t>WORKS IN PROGRESS</t>
  </si>
  <si>
    <t>Capital Expenditure</t>
  </si>
  <si>
    <t>Description</t>
  </si>
  <si>
    <t>Interest and Finance charges</t>
  </si>
  <si>
    <t>capitalised</t>
  </si>
  <si>
    <t>Other Expenses capitalised</t>
  </si>
  <si>
    <t>Total Capital Expen-</t>
  </si>
  <si>
    <t>diture for the year</t>
  </si>
  <si>
    <t>(1+2+3)</t>
  </si>
  <si>
    <t>Less: Expenditure Capitalised</t>
  </si>
  <si>
    <t>(Transferred to gross asset)</t>
  </si>
  <si>
    <t>Closing Balance</t>
  </si>
  <si>
    <t>FORM Y</t>
  </si>
  <si>
    <t xml:space="preserve">RECEIVEBLES AGAINST SALE OF POWER </t>
  </si>
  <si>
    <t>Opening Balance</t>
  </si>
  <si>
    <t>Demand</t>
  </si>
  <si>
    <t>Collection</t>
  </si>
  <si>
    <t>Collection%</t>
  </si>
  <si>
    <t xml:space="preserve">Principal </t>
  </si>
  <si>
    <t>Interest</t>
  </si>
  <si>
    <t>Principal</t>
  </si>
  <si>
    <t>FORM Z</t>
  </si>
  <si>
    <t>STATEMENT SHOWING DIVISION-WISE, TARIFF WISE DEMAND, COLLECTION</t>
  </si>
  <si>
    <t>Division Circle Zone</t>
  </si>
  <si>
    <t>Tariff Category</t>
  </si>
  <si>
    <t>No. of installations</t>
  </si>
  <si>
    <t>Consumption per</t>
  </si>
  <si>
    <t>installation</t>
  </si>
  <si>
    <t>OB</t>
  </si>
  <si>
    <t>CB</t>
  </si>
  <si>
    <t>Form S</t>
  </si>
  <si>
    <t>EXTRAORDINARY ITEMS</t>
  </si>
  <si>
    <t>NB:- Explanatory notes with full details for each of the items shall be provided</t>
  </si>
  <si>
    <t>(C ) Net Current Assets</t>
  </si>
  <si>
    <t>(Rs.)</t>
  </si>
  <si>
    <t>Form N</t>
  </si>
  <si>
    <t>Balance of depreciation at the beginning of the year</t>
  </si>
  <si>
    <t>Depreciation provided for the year</t>
  </si>
  <si>
    <t>Withdrawal of depreciation</t>
  </si>
  <si>
    <t>Balance accumulated depreciation for the end of the year</t>
  </si>
  <si>
    <t>Balance of written down cost of assets a the beginning of the year</t>
  </si>
  <si>
    <t>Form K</t>
  </si>
  <si>
    <t>Overtime</t>
  </si>
  <si>
    <t>DA</t>
  </si>
  <si>
    <t>Other Allowances</t>
  </si>
  <si>
    <t>Bonus</t>
  </si>
  <si>
    <t>Sub Total of 1 to 5</t>
  </si>
  <si>
    <t>Medical expenses reimbursement</t>
  </si>
  <si>
    <t>Leave Travel Concession</t>
  </si>
  <si>
    <t>Earned Leave Encashment</t>
  </si>
  <si>
    <t>Payment under Workmen's Compensation</t>
  </si>
  <si>
    <t>Retrenchment Compensation</t>
  </si>
  <si>
    <t>Sub Total of 7 to 11</t>
  </si>
  <si>
    <t>Staff Welfare Expenses</t>
  </si>
  <si>
    <t>Terminal Benefits</t>
  </si>
  <si>
    <t>Sub total of 13 to 14</t>
  </si>
  <si>
    <t>(iii) SELF CONSUMPTION</t>
  </si>
  <si>
    <t xml:space="preserve">( c) Other income </t>
  </si>
  <si>
    <t>HT/DHT</t>
  </si>
  <si>
    <t xml:space="preserve">LT </t>
  </si>
  <si>
    <t>Consumption Units</t>
  </si>
  <si>
    <t>Consuimption rates</t>
  </si>
  <si>
    <t>Form E</t>
  </si>
  <si>
    <t>AGGREGATE REVENUE REQUIREMENT</t>
  </si>
  <si>
    <t>Capital Base/Net fixed assets at the beginning of the year</t>
  </si>
  <si>
    <t>Less:  Consumer's Contribution</t>
  </si>
  <si>
    <t>Revenue Requirement expenditure (net after capitalisation of expenses) excluding prior period and extra-ordinary items</t>
  </si>
  <si>
    <t>Other income</t>
  </si>
  <si>
    <t>Aggregate revenue requirement (2 +3 -4)</t>
  </si>
  <si>
    <t>Less: Credits to Revenue account not involving cash receipts</t>
  </si>
  <si>
    <t>Total of (c )</t>
  </si>
  <si>
    <t>Net funds from earning  (a) + (b) - (c )</t>
  </si>
  <si>
    <t xml:space="preserve">REVENUE FROM SALE OF POWER </t>
  </si>
  <si>
    <t>Sl</t>
  </si>
  <si>
    <t>Form L</t>
  </si>
  <si>
    <t>EMPLOYEE COSTS - ADDITIONAL INFORMATION</t>
  </si>
  <si>
    <t>(Rs)</t>
  </si>
  <si>
    <t>Category of Employee</t>
  </si>
  <si>
    <t>Sanctioned</t>
  </si>
  <si>
    <t>Working</t>
  </si>
  <si>
    <t>Cost</t>
  </si>
  <si>
    <t>Chairman of Board/CMD of Company</t>
  </si>
  <si>
    <t>Members of Boad/Members of Board of Directors</t>
  </si>
  <si>
    <t>Chief Engineers or equivalent</t>
  </si>
  <si>
    <t>Superintending Engineers or equivalent</t>
  </si>
  <si>
    <t>Executive Engineers or equivalent</t>
  </si>
  <si>
    <t>Asst.Executive Engineers or equivalent</t>
  </si>
  <si>
    <t>Asst. Engineers or equivalent</t>
  </si>
  <si>
    <t>All other Technical staff</t>
  </si>
  <si>
    <t>All non-technical staff*</t>
  </si>
  <si>
    <t>* Postwise information at senior position may be indicated</t>
  </si>
  <si>
    <t>Thiruvananthapuram</t>
  </si>
  <si>
    <t>General Manager Technical</t>
  </si>
  <si>
    <t>Sr Executive - Finance</t>
  </si>
  <si>
    <t>Electrical Engineer</t>
  </si>
  <si>
    <t>Technical Assistant</t>
  </si>
  <si>
    <t>Electrical Consultant</t>
  </si>
  <si>
    <t>Contract Staff</t>
  </si>
  <si>
    <t xml:space="preserve">          Prior Period Adjustment a/c</t>
  </si>
  <si>
    <t>Calculation of return on Investment</t>
  </si>
  <si>
    <t>Equity being 30% of above</t>
  </si>
  <si>
    <t>Calculation of Working Capital and interest</t>
  </si>
  <si>
    <t>Operation &amp; maintenance expenses</t>
  </si>
  <si>
    <t xml:space="preserve"> 1 month</t>
  </si>
  <si>
    <t>Maintenance spares</t>
  </si>
  <si>
    <t xml:space="preserve"> 1% of asset</t>
  </si>
  <si>
    <t>Receivables</t>
  </si>
  <si>
    <t xml:space="preserve"> 2 months average revenue</t>
  </si>
  <si>
    <t>Total Working capital</t>
  </si>
  <si>
    <t xml:space="preserve">Interest @ 10.25% </t>
  </si>
  <si>
    <t xml:space="preserve">    (SBI short term PLR)</t>
  </si>
  <si>
    <t xml:space="preserve">Revenue return </t>
  </si>
  <si>
    <t>CONTENTS</t>
  </si>
  <si>
    <t>Items</t>
  </si>
  <si>
    <t>Forms</t>
  </si>
  <si>
    <t>Profit &amp; Loss Account</t>
  </si>
  <si>
    <t>B</t>
  </si>
  <si>
    <t>Balance Sheet</t>
  </si>
  <si>
    <t>C</t>
  </si>
  <si>
    <t>Detailed Balance Sheet</t>
  </si>
  <si>
    <t>C (2)</t>
  </si>
  <si>
    <t>Cash Flow Statement</t>
  </si>
  <si>
    <t>D</t>
  </si>
  <si>
    <t>Aggregate Revenue Requirement</t>
  </si>
  <si>
    <t>E</t>
  </si>
  <si>
    <t>Cost of Purchased Power</t>
  </si>
  <si>
    <t>F</t>
  </si>
  <si>
    <t>Revenue from Sale of Power</t>
  </si>
  <si>
    <t>G</t>
  </si>
  <si>
    <t>Revenue from Subsidies and Grants</t>
  </si>
  <si>
    <t>H</t>
  </si>
  <si>
    <t>Non-tariff Income</t>
  </si>
  <si>
    <t>Operation &amp; Maintenance Cost</t>
  </si>
  <si>
    <t>J</t>
  </si>
  <si>
    <t>Employees Costs</t>
  </si>
  <si>
    <t>K</t>
  </si>
  <si>
    <t>Employees Costs - Additional Information</t>
  </si>
  <si>
    <t>L</t>
  </si>
  <si>
    <t>Administration &amp; General Charges</t>
  </si>
  <si>
    <t>M</t>
  </si>
  <si>
    <t>N</t>
  </si>
  <si>
    <t>Loans and Debentures &amp; Inteest Charges</t>
  </si>
  <si>
    <t>O</t>
  </si>
  <si>
    <t>Sale &amp; Lease back of assets</t>
  </si>
  <si>
    <t>P</t>
  </si>
  <si>
    <t>Details of Expenses Capitalised</t>
  </si>
  <si>
    <t>Q</t>
  </si>
  <si>
    <t>Others Debits</t>
  </si>
  <si>
    <t>R</t>
  </si>
  <si>
    <t>Extraordinary Items</t>
  </si>
  <si>
    <t>S</t>
  </si>
  <si>
    <t>Net Prior Period Credits/ (charges)</t>
  </si>
  <si>
    <t>T</t>
  </si>
  <si>
    <t>Contributions, Grants &amp; Subsidies towards Cost of Capital Assets</t>
  </si>
  <si>
    <t>Gross Fixed Assets</t>
  </si>
  <si>
    <t>Net Fixed Assets &amp; Capital Base</t>
  </si>
  <si>
    <t>W&amp;W1</t>
  </si>
  <si>
    <t>Work in Progress (Capital Expenditure)</t>
  </si>
  <si>
    <t>Receivables Against Sale of Power</t>
  </si>
  <si>
    <t>Statement Showing Division - wise, Tariff-wise Demand, Collections and Balance of Revenue</t>
  </si>
  <si>
    <t>Z</t>
  </si>
  <si>
    <t>CHIEF EXECUTIVE OFFICER</t>
  </si>
  <si>
    <t>Form P</t>
  </si>
  <si>
    <t>SALE AND LEASE BACK OF ASSETS</t>
  </si>
  <si>
    <t xml:space="preserve">                                        (Rs. )</t>
  </si>
  <si>
    <t>Particulars of Asset</t>
  </si>
  <si>
    <t>Year of acquisition</t>
  </si>
  <si>
    <t>Original Cost of asset</t>
  </si>
  <si>
    <t>Year of Sale</t>
  </si>
  <si>
    <t>Book Value at the time of sale</t>
  </si>
  <si>
    <t>Period of Lease</t>
  </si>
  <si>
    <t>Annual lease payment</t>
  </si>
  <si>
    <t>Remarks</t>
  </si>
  <si>
    <t>Form Q</t>
  </si>
  <si>
    <t>DETAILS OF EXPENSES CAPITALISED</t>
  </si>
  <si>
    <t>Interest and finance charges capitalised</t>
  </si>
  <si>
    <t>Other expenses capitalised</t>
  </si>
  <si>
    <t>Employee Cost</t>
  </si>
  <si>
    <t>Admn. &amp; General Expenses</t>
  </si>
  <si>
    <t>Operation &amp; Maintenance</t>
  </si>
  <si>
    <t>Total of 2</t>
  </si>
  <si>
    <t>-</t>
  </si>
  <si>
    <t>Form R</t>
  </si>
  <si>
    <t>OTHER DEBITS</t>
  </si>
  <si>
    <t>FORM M</t>
  </si>
  <si>
    <t>(i) Extraordinary Items</t>
  </si>
  <si>
    <t>Form H</t>
  </si>
  <si>
    <t>REVENUE SUBSIDIES AND GRANTS</t>
  </si>
  <si>
    <t>Subsidies</t>
  </si>
  <si>
    <t>Grants for R &amp; D Expenses</t>
  </si>
  <si>
    <t>Grants for survey &amp; investigation</t>
  </si>
  <si>
    <t>FORM I</t>
  </si>
  <si>
    <t>NON TARIFF ( OTHER INCOME)</t>
  </si>
  <si>
    <t>Interest on staff loans and Advances</t>
  </si>
  <si>
    <t>Income from investments</t>
  </si>
  <si>
    <t>a</t>
  </si>
  <si>
    <t>b</t>
  </si>
  <si>
    <t>Interest on Bank fixed Deposits</t>
  </si>
  <si>
    <t>c</t>
  </si>
  <si>
    <t>Interest on other investments</t>
  </si>
  <si>
    <t>d</t>
  </si>
  <si>
    <t>Interest on loanss/advances to suppliers/contractors</t>
  </si>
  <si>
    <t>e</t>
  </si>
  <si>
    <t>Interest from Banks</t>
  </si>
  <si>
    <t>f</t>
  </si>
  <si>
    <t>Interest on loans to societies</t>
  </si>
  <si>
    <t>Income from Trading</t>
  </si>
  <si>
    <t>Profit on sale/hire etc of apparatus</t>
  </si>
  <si>
    <t>Hire charges from contractors</t>
  </si>
  <si>
    <t>Profit on sale of stores</t>
  </si>
  <si>
    <t>sale of scrap</t>
  </si>
  <si>
    <t>Other miscellaneous receipts from trading</t>
  </si>
  <si>
    <t>Income/fees collection for staff welfare etc</t>
  </si>
  <si>
    <t>Recoveries for transport facilities</t>
  </si>
  <si>
    <t>Income due to right of way granted for laying fibre optic cables/co-axial cables on T&amp;D systems</t>
  </si>
  <si>
    <t>Rental from staff quarters</t>
  </si>
  <si>
    <t>Rental from others</t>
  </si>
  <si>
    <t>Leave contribution</t>
  </si>
  <si>
    <t>Excess found on physical verification of cash</t>
  </si>
  <si>
    <t>Excess found on physical verification of stock</t>
  </si>
  <si>
    <t>g</t>
  </si>
  <si>
    <t>Excess found on physical verification of Assets</t>
  </si>
  <si>
    <t>h</t>
  </si>
  <si>
    <t>Recovery from transport and vehicle expenses</t>
  </si>
  <si>
    <t>Commission for collection of Electricity duty</t>
  </si>
  <si>
    <t>j</t>
  </si>
  <si>
    <t>Misc. recoveries</t>
  </si>
  <si>
    <t>Conveyance &amp; Vehicle Hire</t>
  </si>
  <si>
    <t>( 1/12th of the sum of the stores materials and supplies including fuel in hand at the end of each month of the year</t>
  </si>
  <si>
    <t>( 1/12th of the cash and bank balance whether credit or debit and call on short term deposits at the end of each month of the year</t>
  </si>
  <si>
    <t>(i) Amounts written off or set aside on account of depreciation of fixed assets</t>
  </si>
  <si>
    <t>(ii) Amount of any loan or subvention from the State Government</t>
  </si>
  <si>
    <t>(iii)(a) Amount of any loan borrowed from organisations or institutions approved by the State Government</t>
  </si>
  <si>
    <t>(iii)(b) Amount of any debenture issued by the licensee</t>
  </si>
  <si>
    <t>(iv) Amount deposited in cash with the licensee by consumers by way of security deposit.</t>
  </si>
  <si>
    <t>FORM X</t>
  </si>
  <si>
    <t>Name of Division Circle Zone</t>
  </si>
  <si>
    <t>Gross Revenue from sale of Power I+II+III+IV</t>
  </si>
  <si>
    <t>(iii) Withdrawal of revenue demand</t>
  </si>
  <si>
    <t>Net revenue from sale of Power (V-VI)</t>
  </si>
  <si>
    <t>(cont)….</t>
  </si>
  <si>
    <t>Total of 5</t>
  </si>
  <si>
    <t>Total of 3</t>
  </si>
  <si>
    <r>
      <rPr>
        <b/>
        <sz val="10"/>
        <rFont val="Book Antiqua"/>
        <family val="1"/>
      </rPr>
      <t>A</t>
    </r>
    <r>
      <rPr>
        <sz val="10"/>
        <rFont val="Book Antiqua"/>
        <family val="1"/>
      </rPr>
      <t>.  Interest on loan from Central Bank of India taken for construction of Bhavani and Gayatri buildings</t>
    </r>
  </si>
  <si>
    <r>
      <rPr>
        <b/>
        <sz val="10"/>
        <rFont val="Book Antiqua"/>
        <family val="1"/>
      </rPr>
      <t>B</t>
    </r>
    <r>
      <rPr>
        <sz val="10"/>
        <rFont val="Book Antiqua"/>
        <family val="1"/>
      </rPr>
      <t>. Interest on loan from Canara Bank taken for construction of Thejaswini buildings</t>
    </r>
  </si>
  <si>
    <t>1       (a)</t>
  </si>
  <si>
    <t xml:space="preserve">         (b)</t>
  </si>
  <si>
    <t xml:space="preserve">          (c) </t>
  </si>
  <si>
    <t xml:space="preserve">         (d)</t>
  </si>
  <si>
    <t>Net Prior Period (credit)/charges</t>
  </si>
  <si>
    <t xml:space="preserve">          Deferred revenue expense w/o.</t>
  </si>
  <si>
    <t>Provision for doubtful debts written back</t>
  </si>
  <si>
    <t>Grand Total  -  (income)/ expenses</t>
  </si>
  <si>
    <t>Other Administrative Charges</t>
  </si>
  <si>
    <t>Share Capital (Corpus Fund)</t>
  </si>
  <si>
    <t>Excess provision for doubtful debts written back</t>
  </si>
  <si>
    <t>One time connection charges credited to corpus fund</t>
  </si>
  <si>
    <t>Capital as per Balance sheet</t>
  </si>
  <si>
    <t>Least of the above</t>
  </si>
  <si>
    <t>A</t>
  </si>
  <si>
    <t xml:space="preserve">14% ROE on equity   </t>
  </si>
  <si>
    <t>Debt portion (C-D)</t>
  </si>
  <si>
    <r>
      <t>ROE at bank PLR (10.25%) on working capital</t>
    </r>
    <r>
      <rPr>
        <sz val="11"/>
        <rFont val="Book Antiqua"/>
        <family val="1"/>
      </rPr>
      <t xml:space="preserve"> (as per above working)</t>
    </r>
  </si>
  <si>
    <t>Total ROE (C + F + G)</t>
  </si>
  <si>
    <t>Capital Base as per Form E</t>
  </si>
  <si>
    <t>AND BALANCE OF REVENUE FOR THE YEAR</t>
  </si>
  <si>
    <t>Interest on securities/KSEB Deposit</t>
  </si>
  <si>
    <t>Sec 3</t>
  </si>
  <si>
    <t>Duty*</t>
  </si>
  <si>
    <t>* Sec 3 duty to be born by licensee</t>
  </si>
  <si>
    <t>Audited</t>
  </si>
  <si>
    <t xml:space="preserve"> Audited </t>
  </si>
  <si>
    <t>Approved by Hon. KSERC</t>
  </si>
  <si>
    <t xml:space="preserve"> Approved by Hon. KSERC </t>
  </si>
  <si>
    <t xml:space="preserve">Surcharge </t>
  </si>
  <si>
    <t xml:space="preserve">(ii) Other state levies </t>
  </si>
  <si>
    <t>(fuel SC)</t>
  </si>
  <si>
    <t>Technical Fee (License fee )</t>
  </si>
  <si>
    <t>Legal Charges (Inspection fee)</t>
  </si>
  <si>
    <t>Electrical installations</t>
  </si>
  <si>
    <t>(interest portion for electrical installations - as in the previous years)</t>
  </si>
  <si>
    <t>power purchase in Kollam park)</t>
  </si>
  <si>
    <t>NET PRIOR PERIOD CREDITS/ CHARGES</t>
  </si>
  <si>
    <t>( 4 - 5 +6)</t>
  </si>
  <si>
    <t>ROE at bank PLR (11%) on Debt</t>
  </si>
  <si>
    <t>CHIEF FINANCE OFFICER</t>
  </si>
  <si>
    <t xml:space="preserve"> As per our report of even date attached </t>
  </si>
  <si>
    <t>JAYANTHI L</t>
  </si>
  <si>
    <t>Except Sec.3 duty</t>
  </si>
  <si>
    <t xml:space="preserve">            Sec 3 duty not charged to the account.</t>
  </si>
  <si>
    <t xml:space="preserve">       Electrical Installation-Kollam</t>
  </si>
  <si>
    <t xml:space="preserve">       Electrical Installations</t>
  </si>
  <si>
    <t xml:space="preserve">       Electrical Installation-Phase-1</t>
  </si>
  <si>
    <t xml:space="preserve">       Electrical Installation-Technocity</t>
  </si>
  <si>
    <t>Allocation of salary included in establishment exp.</t>
  </si>
  <si>
    <t>Chief Finance Officer</t>
  </si>
  <si>
    <t>Cost is included in Capital Cost as part of Project cost</t>
  </si>
  <si>
    <t>Cost is included in O&amp;M expenses</t>
  </si>
  <si>
    <t>59 Nos</t>
  </si>
  <si>
    <t>Approved</t>
  </si>
  <si>
    <t>2011-12</t>
  </si>
  <si>
    <t>Approved for 2012-13</t>
  </si>
  <si>
    <t>10% excess of 2011-12</t>
  </si>
  <si>
    <t>LT</t>
  </si>
  <si>
    <t>2013-14</t>
  </si>
  <si>
    <t>COST OF PURCHASED POWER (Audited  2013-14)</t>
  </si>
  <si>
    <t>Fuel surcharge reversed - since outdated chq</t>
  </si>
  <si>
    <t>Exhibition space power charges accounted in deposit now rectified</t>
  </si>
  <si>
    <t>Service connection charge earlier treated as Work Deposit now rectified</t>
  </si>
  <si>
    <t>Power charges Kollam for 01.10.12 to 31.03.13</t>
  </si>
  <si>
    <t>Inspection fee for 2012-13</t>
  </si>
  <si>
    <t>Excess quota charges for April 2012 charged to CDAC</t>
  </si>
  <si>
    <t>Unidentified debit in pass book pertaining to 2005-06</t>
  </si>
  <si>
    <t>O&amp;M charges of 2012-13 - Aegis Power Engineers</t>
  </si>
  <si>
    <t xml:space="preserve"> Electrical Installation-Phase-III</t>
  </si>
  <si>
    <t>Land Development</t>
  </si>
  <si>
    <t>HT-I</t>
  </si>
  <si>
    <t>HT-II</t>
  </si>
  <si>
    <t>HT-IV</t>
  </si>
  <si>
    <t>LT – IV A Industrial (Old LT-IIA , DHT)</t>
  </si>
  <si>
    <t xml:space="preserve">LT - IVB Industrial </t>
  </si>
  <si>
    <t>LT - VI (A) Non-Domestic</t>
  </si>
  <si>
    <t>LT - VI (B) Non-Domestic</t>
  </si>
  <si>
    <t>LT VI (C) Non-Domestic (1-Ph &amp; 3-Ph)</t>
  </si>
  <si>
    <t>LT VII (A) Commercial  (1-Ph)</t>
  </si>
  <si>
    <t>LT VII (A) Commercial  (3-Ph)</t>
  </si>
  <si>
    <t xml:space="preserve">LT VII (B) Commercial </t>
  </si>
  <si>
    <t>LT VIII General</t>
  </si>
  <si>
    <t xml:space="preserve">LT IX Public Lighting </t>
  </si>
  <si>
    <t>Note: Opening balance and closing balance does not include credit balance in debtors accounts and interest on electricity deposit.</t>
  </si>
  <si>
    <t>Note: OB includes credit balance in debtors accounts and interest on electricity deposit paid by customers.</t>
  </si>
  <si>
    <t>S RAMNATH</t>
  </si>
  <si>
    <t>COST OF PURCHASED POWER (Approved by Hon. KSERC 2013-14)</t>
  </si>
  <si>
    <t>2013-14   Audited</t>
  </si>
  <si>
    <t>2013-14 Approved by Hon. KSERC</t>
  </si>
  <si>
    <t>2013-14 Audited</t>
  </si>
  <si>
    <t>2013-14  Audited</t>
  </si>
  <si>
    <t>2013-14  Approved by Hon. KSERC</t>
  </si>
  <si>
    <t>2013-14 
Audited</t>
  </si>
  <si>
    <t>2013-14   Approved by Hon. KSERC</t>
  </si>
  <si>
    <t>Demand, collection and balance of revenue for the year 2013-14   Audited</t>
  </si>
  <si>
    <t>For the year 2013-14</t>
  </si>
  <si>
    <t>Demand, collection and balance of revenue for the year  2013-14   Approved by Hon. KSERC</t>
  </si>
  <si>
    <r>
      <rPr>
        <b/>
        <sz val="10"/>
        <rFont val="Book Antiqua"/>
        <family val="1"/>
      </rPr>
      <t>C</t>
    </r>
    <r>
      <rPr>
        <sz val="10"/>
        <rFont val="Book Antiqua"/>
        <family val="1"/>
      </rPr>
      <t>. Interest on loan from South Indian bank for construction of Sub station in Phase III</t>
    </r>
  </si>
  <si>
    <r>
      <rPr>
        <b/>
        <sz val="10"/>
        <rFont val="Book Antiqua"/>
        <family val="1"/>
      </rPr>
      <t>D</t>
    </r>
    <r>
      <rPr>
        <sz val="10"/>
        <rFont val="Book Antiqua"/>
        <family val="1"/>
      </rPr>
      <t>. Interest on consumers's deposit</t>
    </r>
  </si>
  <si>
    <t>HT - II</t>
  </si>
  <si>
    <t>HT - IV</t>
  </si>
  <si>
    <t>LT IVA</t>
  </si>
  <si>
    <t>LT IVB</t>
  </si>
  <si>
    <t>LT IVB&lt;20kW</t>
  </si>
  <si>
    <t>LT - VI (B)</t>
  </si>
  <si>
    <t>LT VI C</t>
  </si>
  <si>
    <t>LT VII (A) (1-Ph)</t>
  </si>
  <si>
    <t>LT VII (A) (3-Ph)</t>
  </si>
  <si>
    <t>LT VII (B)</t>
  </si>
  <si>
    <t>Self Cons</t>
  </si>
  <si>
    <t>Street Lighting</t>
  </si>
  <si>
    <t xml:space="preserve">Consuimption rates (normal) </t>
  </si>
  <si>
    <t>30.05.2016</t>
  </si>
  <si>
    <t>A S RAJU</t>
  </si>
  <si>
    <t>GM (TECHNICAL)</t>
  </si>
  <si>
    <t xml:space="preserve"> Approved by Hon. KSERC ARR &amp; ERC OF TECHNOPARK FOR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</si>
</sst>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_(* #,##0_);_(* \(#,##0\);_(* &quot;-&quot;??_);_(@_)"/>
    <numFmt numFmtId="167" formatCode="0.00000000000000"/>
  </numFmts>
  <fonts count="43" x14ac:knownFonts="1">
    <font>
      <sz val="11"/>
      <name val="Tahoma"/>
    </font>
    <font>
      <sz val="11"/>
      <name val="Tahoma"/>
      <family val="2"/>
    </font>
    <font>
      <b/>
      <sz val="11"/>
      <name val="Tahoma"/>
      <family val="2"/>
    </font>
    <font>
      <u/>
      <sz val="14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8"/>
      <name val="Tahoma"/>
      <family val="2"/>
    </font>
    <font>
      <sz val="11"/>
      <name val="Tahoma"/>
      <family val="2"/>
    </font>
    <font>
      <sz val="9"/>
      <name val="Tahoma"/>
      <family val="2"/>
    </font>
    <font>
      <sz val="8"/>
      <name val="Arial"/>
      <family val="2"/>
    </font>
    <font>
      <sz val="10"/>
      <name val="Tahoma"/>
      <family val="2"/>
    </font>
    <font>
      <b/>
      <sz val="16"/>
      <name val="Tahoma"/>
      <family val="2"/>
    </font>
    <font>
      <b/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u/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sz val="12"/>
      <name val="Arial"/>
      <family val="2"/>
    </font>
    <font>
      <sz val="12"/>
      <name val="Book Antiqua"/>
      <family val="1"/>
    </font>
    <font>
      <u/>
      <sz val="14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sz val="9"/>
      <name val="Book Antiqua"/>
      <family val="1"/>
    </font>
    <font>
      <sz val="8"/>
      <name val="Book Antiqua"/>
      <family val="1"/>
    </font>
    <font>
      <b/>
      <u/>
      <sz val="14"/>
      <name val="Book Antiqua"/>
      <family val="1"/>
    </font>
    <font>
      <b/>
      <u/>
      <sz val="12"/>
      <name val="Book Antiqua"/>
      <family val="1"/>
    </font>
    <font>
      <i/>
      <sz val="11"/>
      <name val="Book Antiqua"/>
      <family val="1"/>
    </font>
    <font>
      <sz val="11"/>
      <name val="Tahoma"/>
      <family val="2"/>
    </font>
    <font>
      <sz val="11"/>
      <color indexed="12"/>
      <name val="Book Antiqua"/>
      <family val="1"/>
    </font>
    <font>
      <sz val="14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Arial"/>
      <family val="2"/>
    </font>
    <font>
      <i/>
      <sz val="12"/>
      <name val="Book Antiqua"/>
      <family val="1"/>
    </font>
    <font>
      <sz val="11"/>
      <color indexed="40"/>
      <name val="Book Antiqua"/>
      <family val="1"/>
    </font>
    <font>
      <sz val="11"/>
      <color indexed="10"/>
      <name val="Book Antiqua"/>
      <family val="1"/>
    </font>
    <font>
      <sz val="8"/>
      <name val="Tahoma"/>
      <family val="2"/>
    </font>
    <font>
      <sz val="11"/>
      <name val="Calibri"/>
      <family val="2"/>
    </font>
    <font>
      <sz val="11"/>
      <color theme="1"/>
      <name val="Book Antiqua"/>
      <family val="1"/>
    </font>
    <font>
      <i/>
      <sz val="10"/>
      <name val="Book Antiqua"/>
      <family val="1"/>
    </font>
    <font>
      <b/>
      <i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 applyFont="0" applyFill="0" applyBorder="0" applyAlignment="0" applyProtection="0"/>
  </cellStyleXfs>
  <cellXfs count="643">
    <xf numFmtId="0" fontId="0" fillId="0" borderId="0" xfId="0"/>
    <xf numFmtId="0" fontId="0" fillId="0" borderId="0" xfId="0" applyBorder="1"/>
    <xf numFmtId="1" fontId="0" fillId="0" borderId="0" xfId="0" applyNumberFormat="1" applyBorder="1"/>
    <xf numFmtId="1" fontId="0" fillId="0" borderId="0" xfId="0" applyNumberFormat="1"/>
    <xf numFmtId="0" fontId="7" fillId="0" borderId="0" xfId="0" applyFont="1" applyBorder="1"/>
    <xf numFmtId="2" fontId="0" fillId="0" borderId="0" xfId="0" applyNumberFormat="1"/>
    <xf numFmtId="0" fontId="8" fillId="0" borderId="0" xfId="0" applyFont="1"/>
    <xf numFmtId="0" fontId="4" fillId="0" borderId="0" xfId="6"/>
    <xf numFmtId="0" fontId="4" fillId="0" borderId="1" xfId="6" applyBorder="1"/>
    <xf numFmtId="166" fontId="0" fillId="0" borderId="0" xfId="0" applyNumberFormat="1"/>
    <xf numFmtId="43" fontId="0" fillId="0" borderId="0" xfId="0" applyNumberFormat="1"/>
    <xf numFmtId="4" fontId="0" fillId="0" borderId="0" xfId="0" applyNumberFormat="1" applyBorder="1"/>
    <xf numFmtId="43" fontId="0" fillId="0" borderId="0" xfId="1" applyFont="1"/>
    <xf numFmtId="0" fontId="4" fillId="0" borderId="0" xfId="6" applyFill="1"/>
    <xf numFmtId="0" fontId="0" fillId="0" borderId="0" xfId="0" applyFill="1"/>
    <xf numFmtId="4" fontId="4" fillId="0" borderId="0" xfId="6" applyNumberFormat="1"/>
    <xf numFmtId="0" fontId="0" fillId="0" borderId="0" xfId="0" applyAlignment="1">
      <alignment horizontal="center"/>
    </xf>
    <xf numFmtId="0" fontId="4" fillId="0" borderId="0" xfId="6" applyAlignment="1">
      <alignment horizontal="center"/>
    </xf>
    <xf numFmtId="166" fontId="0" fillId="0" borderId="0" xfId="1" applyNumberFormat="1" applyFont="1"/>
    <xf numFmtId="43" fontId="10" fillId="0" borderId="0" xfId="1" applyFont="1"/>
    <xf numFmtId="0" fontId="13" fillId="0" borderId="0" xfId="5" applyFont="1" applyAlignment="1">
      <alignment horizontal="center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/>
    <xf numFmtId="0" fontId="14" fillId="0" borderId="0" xfId="5" applyFont="1"/>
    <xf numFmtId="0" fontId="15" fillId="2" borderId="0" xfId="5" applyFont="1" applyFill="1" applyBorder="1" applyAlignment="1">
      <alignment horizontal="left" vertical="center"/>
    </xf>
    <xf numFmtId="0" fontId="14" fillId="2" borderId="0" xfId="5" applyFont="1" applyFill="1" applyBorder="1"/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0" borderId="4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6" xfId="5" applyFont="1" applyBorder="1" applyAlignment="1">
      <alignment horizontal="center"/>
    </xf>
    <xf numFmtId="0" fontId="13" fillId="0" borderId="7" xfId="5" applyFont="1" applyBorder="1" applyAlignment="1">
      <alignment horizontal="center"/>
    </xf>
    <xf numFmtId="0" fontId="16" fillId="2" borderId="0" xfId="5" applyFont="1" applyFill="1"/>
    <xf numFmtId="0" fontId="17" fillId="2" borderId="0" xfId="5" applyFont="1" applyFill="1"/>
    <xf numFmtId="0" fontId="17" fillId="2" borderId="0" xfId="7" applyFont="1" applyFill="1"/>
    <xf numFmtId="0" fontId="14" fillId="2" borderId="0" xfId="7" applyFont="1" applyFill="1"/>
    <xf numFmtId="0" fontId="16" fillId="2" borderId="0" xfId="7" applyFont="1" applyFill="1"/>
    <xf numFmtId="0" fontId="18" fillId="2" borderId="0" xfId="7" applyFont="1" applyFill="1" applyBorder="1" applyAlignment="1">
      <alignment horizontal="center"/>
    </xf>
    <xf numFmtId="0" fontId="19" fillId="0" borderId="0" xfId="5" applyFont="1"/>
    <xf numFmtId="0" fontId="20" fillId="2" borderId="0" xfId="7" applyFont="1" applyFill="1" applyBorder="1" applyAlignment="1">
      <alignment horizontal="center"/>
    </xf>
    <xf numFmtId="0" fontId="4" fillId="2" borderId="0" xfId="5" applyFill="1" applyAlignment="1">
      <alignment horizontal="center"/>
    </xf>
    <xf numFmtId="0" fontId="19" fillId="0" borderId="0" xfId="5" applyFont="1" applyAlignment="1">
      <alignment vertical="center"/>
    </xf>
    <xf numFmtId="0" fontId="20" fillId="2" borderId="8" xfId="7" applyFont="1" applyFill="1" applyBorder="1" applyAlignment="1">
      <alignment horizontal="center" vertical="top"/>
    </xf>
    <xf numFmtId="0" fontId="20" fillId="2" borderId="9" xfId="7" applyFont="1" applyFill="1" applyBorder="1" applyAlignment="1">
      <alignment wrapText="1"/>
    </xf>
    <xf numFmtId="43" fontId="20" fillId="2" borderId="10" xfId="7" applyNumberFormat="1" applyFont="1" applyFill="1" applyBorder="1"/>
    <xf numFmtId="0" fontId="20" fillId="2" borderId="9" xfId="7" applyFont="1" applyFill="1" applyBorder="1"/>
    <xf numFmtId="0" fontId="20" fillId="2" borderId="11" xfId="7" applyFont="1" applyFill="1" applyBorder="1"/>
    <xf numFmtId="0" fontId="20" fillId="2" borderId="4" xfId="7" applyFont="1" applyFill="1" applyBorder="1" applyAlignment="1">
      <alignment horizontal="center"/>
    </xf>
    <xf numFmtId="0" fontId="20" fillId="2" borderId="12" xfId="7" applyFont="1" applyFill="1" applyBorder="1"/>
    <xf numFmtId="0" fontId="20" fillId="2" borderId="1" xfId="7" applyFont="1" applyFill="1" applyBorder="1"/>
    <xf numFmtId="0" fontId="20" fillId="2" borderId="13" xfId="7" applyFont="1" applyFill="1" applyBorder="1"/>
    <xf numFmtId="0" fontId="20" fillId="2" borderId="12" xfId="7" applyFont="1" applyFill="1" applyBorder="1" applyAlignment="1">
      <alignment horizontal="center"/>
    </xf>
    <xf numFmtId="0" fontId="20" fillId="2" borderId="13" xfId="7" applyFont="1" applyFill="1" applyBorder="1" applyAlignment="1">
      <alignment horizontal="center"/>
    </xf>
    <xf numFmtId="0" fontId="20" fillId="2" borderId="6" xfId="7" applyFont="1" applyFill="1" applyBorder="1" applyAlignment="1">
      <alignment horizontal="center"/>
    </xf>
    <xf numFmtId="0" fontId="20" fillId="2" borderId="14" xfId="7" applyFont="1" applyFill="1" applyBorder="1"/>
    <xf numFmtId="0" fontId="20" fillId="2" borderId="15" xfId="7" applyFont="1" applyFill="1" applyBorder="1"/>
    <xf numFmtId="0" fontId="20" fillId="2" borderId="16" xfId="7" applyFont="1" applyFill="1" applyBorder="1"/>
    <xf numFmtId="0" fontId="20" fillId="2" borderId="0" xfId="7" applyFont="1" applyFill="1"/>
    <xf numFmtId="0" fontId="19" fillId="2" borderId="0" xfId="5" applyFont="1" applyFill="1"/>
    <xf numFmtId="0" fontId="4" fillId="2" borderId="0" xfId="5" applyFont="1" applyFill="1"/>
    <xf numFmtId="0" fontId="4" fillId="0" borderId="0" xfId="5" applyFont="1"/>
    <xf numFmtId="43" fontId="17" fillId="2" borderId="0" xfId="7" applyNumberFormat="1" applyFont="1" applyFill="1"/>
    <xf numFmtId="0" fontId="3" fillId="0" borderId="0" xfId="0" applyFont="1" applyAlignment="1"/>
    <xf numFmtId="0" fontId="14" fillId="0" borderId="0" xfId="0" applyFont="1"/>
    <xf numFmtId="0" fontId="24" fillId="0" borderId="0" xfId="0" applyFont="1" applyBorder="1"/>
    <xf numFmtId="166" fontId="14" fillId="0" borderId="0" xfId="1" applyNumberFormat="1" applyFont="1" applyBorder="1"/>
    <xf numFmtId="166" fontId="14" fillId="0" borderId="12" xfId="1" applyNumberFormat="1" applyFont="1" applyBorder="1"/>
    <xf numFmtId="0" fontId="14" fillId="0" borderId="12" xfId="0" applyFont="1" applyBorder="1"/>
    <xf numFmtId="2" fontId="14" fillId="0" borderId="12" xfId="0" applyNumberFormat="1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0" borderId="0" xfId="0" applyFont="1" applyBorder="1"/>
    <xf numFmtId="0" fontId="14" fillId="0" borderId="21" xfId="0" applyFont="1" applyBorder="1"/>
    <xf numFmtId="0" fontId="14" fillId="0" borderId="22" xfId="0" applyFont="1" applyBorder="1"/>
    <xf numFmtId="0" fontId="11" fillId="0" borderId="0" xfId="0" applyFont="1" applyAlignment="1"/>
    <xf numFmtId="0" fontId="14" fillId="0" borderId="0" xfId="0" applyFont="1" applyAlignment="1">
      <alignment horizontal="center"/>
    </xf>
    <xf numFmtId="43" fontId="14" fillId="0" borderId="0" xfId="1" applyFont="1"/>
    <xf numFmtId="0" fontId="13" fillId="0" borderId="0" xfId="0" applyFont="1" applyAlignment="1"/>
    <xf numFmtId="0" fontId="14" fillId="0" borderId="0" xfId="0" applyFont="1" applyAlignment="1"/>
    <xf numFmtId="43" fontId="14" fillId="0" borderId="0" xfId="1" applyFont="1" applyBorder="1"/>
    <xf numFmtId="0" fontId="13" fillId="0" borderId="0" xfId="0" applyFont="1"/>
    <xf numFmtId="0" fontId="14" fillId="0" borderId="23" xfId="0" applyFont="1" applyBorder="1"/>
    <xf numFmtId="0" fontId="13" fillId="0" borderId="21" xfId="0" applyFont="1" applyBorder="1"/>
    <xf numFmtId="166" fontId="14" fillId="0" borderId="19" xfId="1" applyNumberFormat="1" applyFont="1" applyBorder="1"/>
    <xf numFmtId="2" fontId="14" fillId="0" borderId="21" xfId="0" applyNumberFormat="1" applyFont="1" applyBorder="1"/>
    <xf numFmtId="2" fontId="14" fillId="0" borderId="17" xfId="0" applyNumberFormat="1" applyFont="1" applyBorder="1"/>
    <xf numFmtId="2" fontId="14" fillId="0" borderId="0" xfId="0" applyNumberFormat="1" applyFont="1"/>
    <xf numFmtId="166" fontId="14" fillId="0" borderId="0" xfId="1" applyNumberFormat="1" applyFont="1"/>
    <xf numFmtId="2" fontId="14" fillId="0" borderId="23" xfId="0" applyNumberFormat="1" applyFont="1" applyBorder="1"/>
    <xf numFmtId="2" fontId="14" fillId="0" borderId="22" xfId="0" applyNumberFormat="1" applyFont="1" applyBorder="1"/>
    <xf numFmtId="0" fontId="28" fillId="0" borderId="0" xfId="0" applyFont="1"/>
    <xf numFmtId="0" fontId="14" fillId="0" borderId="24" xfId="0" applyFont="1" applyBorder="1"/>
    <xf numFmtId="0" fontId="14" fillId="0" borderId="25" xfId="0" applyFont="1" applyBorder="1"/>
    <xf numFmtId="0" fontId="14" fillId="0" borderId="5" xfId="0" applyFont="1" applyBorder="1"/>
    <xf numFmtId="0" fontId="14" fillId="0" borderId="26" xfId="0" applyFont="1" applyBorder="1"/>
    <xf numFmtId="0" fontId="14" fillId="0" borderId="6" xfId="0" applyFont="1" applyBorder="1"/>
    <xf numFmtId="0" fontId="14" fillId="0" borderId="27" xfId="0" applyFont="1" applyBorder="1"/>
    <xf numFmtId="0" fontId="14" fillId="0" borderId="7" xfId="0" applyFont="1" applyBorder="1"/>
    <xf numFmtId="166" fontId="14" fillId="0" borderId="0" xfId="0" applyNumberFormat="1" applyFont="1"/>
    <xf numFmtId="0" fontId="13" fillId="3" borderId="28" xfId="0" applyFont="1" applyFill="1" applyBorder="1" applyAlignment="1">
      <alignment horizontal="center"/>
    </xf>
    <xf numFmtId="0" fontId="13" fillId="3" borderId="17" xfId="0" applyFont="1" applyFill="1" applyBorder="1"/>
    <xf numFmtId="1" fontId="14" fillId="0" borderId="12" xfId="0" applyNumberFormat="1" applyFont="1" applyBorder="1"/>
    <xf numFmtId="1" fontId="14" fillId="0" borderId="21" xfId="0" applyNumberFormat="1" applyFont="1" applyBorder="1"/>
    <xf numFmtId="0" fontId="14" fillId="0" borderId="12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2" xfId="0" applyFont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 vertical="top"/>
    </xf>
    <xf numFmtId="0" fontId="13" fillId="0" borderId="0" xfId="0" applyFont="1" applyBorder="1"/>
    <xf numFmtId="0" fontId="13" fillId="0" borderId="12" xfId="0" applyFont="1" applyBorder="1" applyAlignment="1">
      <alignment wrapText="1"/>
    </xf>
    <xf numFmtId="0" fontId="13" fillId="0" borderId="12" xfId="0" applyFont="1" applyBorder="1"/>
    <xf numFmtId="0" fontId="14" fillId="0" borderId="12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justify" wrapText="1"/>
    </xf>
    <xf numFmtId="0" fontId="13" fillId="0" borderId="9" xfId="0" applyFont="1" applyBorder="1"/>
    <xf numFmtId="0" fontId="13" fillId="0" borderId="17" xfId="0" applyFont="1" applyBorder="1"/>
    <xf numFmtId="43" fontId="14" fillId="0" borderId="19" xfId="1" applyFont="1" applyBorder="1"/>
    <xf numFmtId="43" fontId="14" fillId="0" borderId="12" xfId="1" applyFont="1" applyBorder="1"/>
    <xf numFmtId="43" fontId="14" fillId="0" borderId="21" xfId="1" applyFont="1" applyBorder="1"/>
    <xf numFmtId="43" fontId="13" fillId="0" borderId="12" xfId="1" applyFont="1" applyBorder="1"/>
    <xf numFmtId="43" fontId="13" fillId="0" borderId="21" xfId="1" applyFont="1" applyBorder="1"/>
    <xf numFmtId="43" fontId="13" fillId="0" borderId="12" xfId="1" applyFont="1" applyBorder="1" applyAlignment="1">
      <alignment horizontal="right"/>
    </xf>
    <xf numFmtId="0" fontId="13" fillId="0" borderId="23" xfId="0" applyFont="1" applyBorder="1"/>
    <xf numFmtId="2" fontId="13" fillId="0" borderId="19" xfId="0" applyNumberFormat="1" applyFont="1" applyBorder="1"/>
    <xf numFmtId="166" fontId="14" fillId="0" borderId="19" xfId="1" applyNumberFormat="1" applyFont="1" applyBorder="1" applyAlignment="1">
      <alignment horizontal="center"/>
    </xf>
    <xf numFmtId="0" fontId="14" fillId="0" borderId="28" xfId="0" applyFont="1" applyBorder="1"/>
    <xf numFmtId="0" fontId="14" fillId="0" borderId="12" xfId="0" applyFont="1" applyFill="1" applyBorder="1"/>
    <xf numFmtId="0" fontId="24" fillId="0" borderId="17" xfId="0" applyFont="1" applyFill="1" applyBorder="1"/>
    <xf numFmtId="0" fontId="14" fillId="0" borderId="0" xfId="0" applyFont="1" applyFill="1"/>
    <xf numFmtId="0" fontId="13" fillId="3" borderId="20" xfId="0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14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vertical="top" wrapText="1"/>
    </xf>
    <xf numFmtId="0" fontId="13" fillId="0" borderId="12" xfId="0" applyFont="1" applyFill="1" applyBorder="1"/>
    <xf numFmtId="0" fontId="29" fillId="0" borderId="0" xfId="0" applyFont="1"/>
    <xf numFmtId="0" fontId="15" fillId="0" borderId="0" xfId="0" applyFont="1"/>
    <xf numFmtId="0" fontId="14" fillId="0" borderId="0" xfId="0" applyFont="1" applyBorder="1" applyAlignment="1">
      <alignment wrapText="1"/>
    </xf>
    <xf numFmtId="0" fontId="13" fillId="0" borderId="0" xfId="0" applyFont="1" applyFill="1" applyBorder="1"/>
    <xf numFmtId="0" fontId="14" fillId="0" borderId="0" xfId="0" applyFont="1" applyFill="1" applyBorder="1"/>
    <xf numFmtId="9" fontId="14" fillId="0" borderId="0" xfId="0" applyNumberFormat="1" applyFont="1"/>
    <xf numFmtId="0" fontId="14" fillId="0" borderId="0" xfId="0" applyFont="1" applyBorder="1" applyAlignment="1"/>
    <xf numFmtId="0" fontId="14" fillId="0" borderId="8" xfId="0" applyFont="1" applyBorder="1"/>
    <xf numFmtId="0" fontId="14" fillId="0" borderId="30" xfId="0" applyFont="1" applyBorder="1"/>
    <xf numFmtId="0" fontId="14" fillId="0" borderId="4" xfId="0" applyFont="1" applyBorder="1"/>
    <xf numFmtId="0" fontId="14" fillId="0" borderId="31" xfId="0" applyFont="1" applyBorder="1"/>
    <xf numFmtId="0" fontId="13" fillId="3" borderId="0" xfId="0" applyFont="1" applyFill="1" applyBorder="1"/>
    <xf numFmtId="0" fontId="13" fillId="3" borderId="21" xfId="0" applyFont="1" applyFill="1" applyBorder="1"/>
    <xf numFmtId="0" fontId="14" fillId="0" borderId="0" xfId="7" applyFont="1"/>
    <xf numFmtId="0" fontId="14" fillId="2" borderId="1" xfId="7" applyFont="1" applyFill="1" applyBorder="1" applyAlignment="1">
      <alignment horizontal="center"/>
    </xf>
    <xf numFmtId="0" fontId="14" fillId="2" borderId="1" xfId="7" applyFont="1" applyFill="1" applyBorder="1"/>
    <xf numFmtId="0" fontId="14" fillId="2" borderId="12" xfId="7" applyFont="1" applyFill="1" applyBorder="1" applyAlignment="1">
      <alignment horizontal="center"/>
    </xf>
    <xf numFmtId="0" fontId="14" fillId="2" borderId="28" xfId="7" applyFont="1" applyFill="1" applyBorder="1" applyAlignment="1">
      <alignment horizontal="center"/>
    </xf>
    <xf numFmtId="0" fontId="14" fillId="2" borderId="28" xfId="7" applyFont="1" applyFill="1" applyBorder="1"/>
    <xf numFmtId="0" fontId="14" fillId="2" borderId="17" xfId="7" applyFont="1" applyFill="1" applyBorder="1" applyAlignment="1">
      <alignment horizontal="center"/>
    </xf>
    <xf numFmtId="0" fontId="22" fillId="2" borderId="0" xfId="5" applyFont="1" applyFill="1" applyBorder="1" applyAlignment="1">
      <alignment horizontal="center"/>
    </xf>
    <xf numFmtId="0" fontId="17" fillId="0" borderId="0" xfId="5" applyFont="1"/>
    <xf numFmtId="0" fontId="20" fillId="0" borderId="0" xfId="5" applyFont="1"/>
    <xf numFmtId="0" fontId="14" fillId="2" borderId="21" xfId="7" applyFont="1" applyFill="1" applyBorder="1"/>
    <xf numFmtId="0" fontId="14" fillId="2" borderId="21" xfId="7" applyFont="1" applyFill="1" applyBorder="1" applyAlignment="1">
      <alignment wrapText="1"/>
    </xf>
    <xf numFmtId="0" fontId="13" fillId="3" borderId="19" xfId="7" applyFont="1" applyFill="1" applyBorder="1" applyAlignment="1">
      <alignment horizontal="center"/>
    </xf>
    <xf numFmtId="0" fontId="13" fillId="3" borderId="23" xfId="7" applyFont="1" applyFill="1" applyBorder="1" applyAlignment="1">
      <alignment horizontal="center"/>
    </xf>
    <xf numFmtId="0" fontId="13" fillId="3" borderId="32" xfId="7" applyFont="1" applyFill="1" applyBorder="1" applyAlignment="1">
      <alignment horizontal="center" wrapText="1"/>
    </xf>
    <xf numFmtId="0" fontId="14" fillId="2" borderId="19" xfId="7" applyFont="1" applyFill="1" applyBorder="1" applyAlignment="1">
      <alignment horizontal="center" vertical="top"/>
    </xf>
    <xf numFmtId="0" fontId="14" fillId="2" borderId="23" xfId="7" applyFont="1" applyFill="1" applyBorder="1" applyAlignment="1">
      <alignment wrapText="1"/>
    </xf>
    <xf numFmtId="0" fontId="14" fillId="2" borderId="19" xfId="7" applyFont="1" applyFill="1" applyBorder="1" applyAlignment="1">
      <alignment horizontal="center"/>
    </xf>
    <xf numFmtId="0" fontId="14" fillId="2" borderId="23" xfId="7" applyFont="1" applyFill="1" applyBorder="1"/>
    <xf numFmtId="0" fontId="14" fillId="2" borderId="12" xfId="7" applyFont="1" applyFill="1" applyBorder="1" applyAlignment="1">
      <alignment horizontal="right"/>
    </xf>
    <xf numFmtId="0" fontId="14" fillId="2" borderId="12" xfId="7" applyFont="1" applyFill="1" applyBorder="1" applyAlignment="1">
      <alignment horizontal="right" vertical="top"/>
    </xf>
    <xf numFmtId="0" fontId="14" fillId="0" borderId="17" xfId="5" applyFont="1" applyBorder="1" applyAlignment="1">
      <alignment horizontal="right"/>
    </xf>
    <xf numFmtId="0" fontId="14" fillId="0" borderId="22" xfId="5" applyFont="1" applyBorder="1"/>
    <xf numFmtId="0" fontId="14" fillId="2" borderId="17" xfId="7" applyFont="1" applyFill="1" applyBorder="1" applyAlignment="1">
      <alignment horizontal="right"/>
    </xf>
    <xf numFmtId="0" fontId="14" fillId="2" borderId="22" xfId="7" applyFont="1" applyFill="1" applyBorder="1"/>
    <xf numFmtId="0" fontId="14" fillId="2" borderId="17" xfId="7" quotePrefix="1" applyFont="1" applyFill="1" applyBorder="1" applyAlignment="1">
      <alignment horizontal="right"/>
    </xf>
    <xf numFmtId="0" fontId="14" fillId="2" borderId="12" xfId="7" quotePrefix="1" applyFont="1" applyFill="1" applyBorder="1" applyAlignment="1">
      <alignment horizontal="right"/>
    </xf>
    <xf numFmtId="0" fontId="14" fillId="2" borderId="17" xfId="7" applyFont="1" applyFill="1" applyBorder="1"/>
    <xf numFmtId="0" fontId="13" fillId="2" borderId="22" xfId="7" applyFont="1" applyFill="1" applyBorder="1"/>
    <xf numFmtId="0" fontId="13" fillId="2" borderId="0" xfId="7" applyFont="1" applyFill="1"/>
    <xf numFmtId="0" fontId="14" fillId="2" borderId="29" xfId="7" applyFont="1" applyFill="1" applyBorder="1"/>
    <xf numFmtId="0" fontId="13" fillId="2" borderId="1" xfId="7" applyFont="1" applyFill="1" applyBorder="1"/>
    <xf numFmtId="0" fontId="22" fillId="0" borderId="0" xfId="7" applyFont="1" applyBorder="1" applyAlignment="1">
      <alignment horizontal="center"/>
    </xf>
    <xf numFmtId="0" fontId="13" fillId="3" borderId="12" xfId="0" applyFont="1" applyFill="1" applyBorder="1"/>
    <xf numFmtId="43" fontId="14" fillId="0" borderId="12" xfId="0" applyNumberFormat="1" applyFont="1" applyBorder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/>
    <xf numFmtId="0" fontId="13" fillId="3" borderId="22" xfId="0" applyFont="1" applyFill="1" applyBorder="1"/>
    <xf numFmtId="0" fontId="13" fillId="3" borderId="32" xfId="0" applyFont="1" applyFill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30" fillId="0" borderId="0" xfId="0" applyFont="1"/>
    <xf numFmtId="0" fontId="13" fillId="0" borderId="0" xfId="0" applyFont="1" applyBorder="1" applyAlignment="1">
      <alignment textRotation="90"/>
    </xf>
    <xf numFmtId="0" fontId="13" fillId="0" borderId="19" xfId="0" applyFont="1" applyBorder="1" applyAlignment="1">
      <alignment textRotation="90"/>
    </xf>
    <xf numFmtId="43" fontId="14" fillId="0" borderId="21" xfId="1" applyNumberFormat="1" applyFont="1" applyBorder="1"/>
    <xf numFmtId="43" fontId="14" fillId="0" borderId="21" xfId="0" applyNumberFormat="1" applyFont="1" applyBorder="1"/>
    <xf numFmtId="43" fontId="14" fillId="0" borderId="32" xfId="0" applyNumberFormat="1" applyFont="1" applyBorder="1"/>
    <xf numFmtId="43" fontId="14" fillId="0" borderId="17" xfId="0" applyNumberFormat="1" applyFont="1" applyBorder="1"/>
    <xf numFmtId="43" fontId="14" fillId="0" borderId="22" xfId="0" applyNumberFormat="1" applyFont="1" applyBorder="1"/>
    <xf numFmtId="43" fontId="13" fillId="0" borderId="32" xfId="1" applyNumberFormat="1" applyFont="1" applyBorder="1"/>
    <xf numFmtId="43" fontId="14" fillId="0" borderId="12" xfId="1" applyFont="1" applyFill="1" applyBorder="1"/>
    <xf numFmtId="43" fontId="14" fillId="0" borderId="12" xfId="1" applyFont="1" applyFill="1" applyBorder="1" applyAlignment="1"/>
    <xf numFmtId="43" fontId="14" fillId="0" borderId="12" xfId="0" applyNumberFormat="1" applyFont="1" applyBorder="1" applyAlignment="1">
      <alignment horizontal="center"/>
    </xf>
    <xf numFmtId="43" fontId="14" fillId="0" borderId="0" xfId="1" applyNumberFormat="1" applyFont="1" applyAlignment="1"/>
    <xf numFmtId="43" fontId="14" fillId="0" borderId="0" xfId="1" applyNumberFormat="1" applyFont="1"/>
    <xf numFmtId="43" fontId="13" fillId="0" borderId="0" xfId="1" applyNumberFormat="1" applyFont="1"/>
    <xf numFmtId="43" fontId="14" fillId="0" borderId="12" xfId="1" applyNumberFormat="1" applyFont="1" applyBorder="1"/>
    <xf numFmtId="43" fontId="13" fillId="0" borderId="12" xfId="1" applyNumberFormat="1" applyFont="1" applyBorder="1"/>
    <xf numFmtId="43" fontId="13" fillId="0" borderId="12" xfId="1" applyFont="1" applyBorder="1" applyAlignment="1">
      <alignment vertical="top"/>
    </xf>
    <xf numFmtId="43" fontId="13" fillId="0" borderId="9" xfId="1" applyFont="1" applyBorder="1"/>
    <xf numFmtId="43" fontId="13" fillId="0" borderId="17" xfId="1" applyFont="1" applyBorder="1"/>
    <xf numFmtId="43" fontId="14" fillId="0" borderId="17" xfId="1" applyNumberFormat="1" applyFont="1" applyBorder="1"/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8" xfId="0" applyFont="1" applyBorder="1" applyAlignment="1">
      <alignment horizontal="right"/>
    </xf>
    <xf numFmtId="43" fontId="14" fillId="0" borderId="17" xfId="1" applyFont="1" applyBorder="1"/>
    <xf numFmtId="43" fontId="14" fillId="0" borderId="18" xfId="1" applyFont="1" applyBorder="1"/>
    <xf numFmtId="0" fontId="22" fillId="2" borderId="0" xfId="7" applyFont="1" applyFill="1" applyBorder="1" applyAlignment="1">
      <alignment horizontal="center"/>
    </xf>
    <xf numFmtId="0" fontId="31" fillId="0" borderId="0" xfId="5" applyFont="1" applyAlignment="1">
      <alignment horizontal="center"/>
    </xf>
    <xf numFmtId="0" fontId="13" fillId="3" borderId="8" xfId="7" applyFont="1" applyFill="1" applyBorder="1" applyAlignment="1">
      <alignment horizontal="center" vertical="center"/>
    </xf>
    <xf numFmtId="0" fontId="13" fillId="3" borderId="9" xfId="7" applyFont="1" applyFill="1" applyBorder="1" applyAlignment="1">
      <alignment horizontal="center" vertical="center"/>
    </xf>
    <xf numFmtId="0" fontId="13" fillId="3" borderId="10" xfId="7" applyFont="1" applyFill="1" applyBorder="1" applyAlignment="1">
      <alignment horizontal="center" vertical="center" wrapText="1"/>
    </xf>
    <xf numFmtId="0" fontId="13" fillId="3" borderId="9" xfId="7" applyFont="1" applyFill="1" applyBorder="1" applyAlignment="1">
      <alignment horizontal="center" vertical="center" wrapText="1"/>
    </xf>
    <xf numFmtId="0" fontId="13" fillId="3" borderId="11" xfId="7" applyFont="1" applyFill="1" applyBorder="1" applyAlignment="1">
      <alignment horizontal="center" vertical="center" wrapText="1"/>
    </xf>
    <xf numFmtId="0" fontId="13" fillId="2" borderId="0" xfId="5" applyFont="1" applyFill="1"/>
    <xf numFmtId="0" fontId="5" fillId="2" borderId="0" xfId="5" applyFont="1" applyFill="1"/>
    <xf numFmtId="0" fontId="14" fillId="2" borderId="1" xfId="7" applyFont="1" applyFill="1" applyBorder="1" applyAlignment="1">
      <alignment horizontal="center" vertical="top"/>
    </xf>
    <xf numFmtId="0" fontId="14" fillId="2" borderId="12" xfId="7" applyFont="1" applyFill="1" applyBorder="1" applyAlignment="1">
      <alignment wrapText="1"/>
    </xf>
    <xf numFmtId="0" fontId="14" fillId="2" borderId="21" xfId="7" applyFont="1" applyFill="1" applyBorder="1" applyAlignment="1">
      <alignment horizontal="center"/>
    </xf>
    <xf numFmtId="0" fontId="14" fillId="2" borderId="12" xfId="7" applyFont="1" applyFill="1" applyBorder="1"/>
    <xf numFmtId="0" fontId="14" fillId="2" borderId="1" xfId="7" quotePrefix="1" applyFont="1" applyFill="1" applyBorder="1" applyAlignment="1">
      <alignment horizontal="right"/>
    </xf>
    <xf numFmtId="0" fontId="14" fillId="2" borderId="1" xfId="7" applyFont="1" applyFill="1" applyBorder="1" applyAlignment="1">
      <alignment horizontal="right"/>
    </xf>
    <xf numFmtId="0" fontId="14" fillId="2" borderId="22" xfId="7" applyFont="1" applyFill="1" applyBorder="1" applyAlignment="1">
      <alignment horizontal="center"/>
    </xf>
    <xf numFmtId="0" fontId="14" fillId="2" borderId="32" xfId="7" applyFont="1" applyFill="1" applyBorder="1"/>
    <xf numFmtId="0" fontId="13" fillId="2" borderId="32" xfId="7" applyFont="1" applyFill="1" applyBorder="1"/>
    <xf numFmtId="43" fontId="14" fillId="2" borderId="32" xfId="7" applyNumberFormat="1" applyFont="1" applyFill="1" applyBorder="1" applyAlignment="1">
      <alignment horizontal="center"/>
    </xf>
    <xf numFmtId="43" fontId="14" fillId="2" borderId="12" xfId="7" applyNumberFormat="1" applyFont="1" applyFill="1" applyBorder="1"/>
    <xf numFmtId="0" fontId="14" fillId="2" borderId="20" xfId="7" applyFont="1" applyFill="1" applyBorder="1"/>
    <xf numFmtId="43" fontId="14" fillId="2" borderId="32" xfId="7" applyNumberFormat="1" applyFont="1" applyFill="1" applyBorder="1"/>
    <xf numFmtId="0" fontId="25" fillId="0" borderId="0" xfId="0" applyFont="1" applyFill="1" applyBorder="1"/>
    <xf numFmtId="0" fontId="18" fillId="0" borderId="18" xfId="0" applyFont="1" applyBorder="1" applyAlignment="1">
      <alignment horizontal="center"/>
    </xf>
    <xf numFmtId="0" fontId="13" fillId="3" borderId="32" xfId="6" applyFont="1" applyFill="1" applyBorder="1" applyAlignment="1">
      <alignment horizontal="center"/>
    </xf>
    <xf numFmtId="0" fontId="14" fillId="0" borderId="1" xfId="6" applyFont="1" applyBorder="1"/>
    <xf numFmtId="0" fontId="14" fillId="0" borderId="21" xfId="6" applyFont="1" applyBorder="1"/>
    <xf numFmtId="0" fontId="14" fillId="0" borderId="21" xfId="6" applyFont="1" applyBorder="1" applyAlignment="1">
      <alignment horizontal="center"/>
    </xf>
    <xf numFmtId="0" fontId="14" fillId="0" borderId="21" xfId="6" applyFont="1" applyBorder="1" applyAlignment="1">
      <alignment wrapText="1"/>
    </xf>
    <xf numFmtId="0" fontId="14" fillId="0" borderId="1" xfId="6" applyFont="1" applyBorder="1" applyAlignment="1">
      <alignment horizontal="center"/>
    </xf>
    <xf numFmtId="0" fontId="14" fillId="0" borderId="28" xfId="6" applyFont="1" applyBorder="1"/>
    <xf numFmtId="0" fontId="14" fillId="0" borderId="28" xfId="6" applyFont="1" applyBorder="1" applyAlignment="1">
      <alignment horizontal="center"/>
    </xf>
    <xf numFmtId="0" fontId="14" fillId="0" borderId="22" xfId="6" applyFont="1" applyBorder="1"/>
    <xf numFmtId="0" fontId="14" fillId="0" borderId="0" xfId="6" applyFont="1"/>
    <xf numFmtId="0" fontId="17" fillId="0" borderId="0" xfId="6" applyFont="1"/>
    <xf numFmtId="0" fontId="13" fillId="0" borderId="21" xfId="6" applyFont="1" applyBorder="1"/>
    <xf numFmtId="43" fontId="13" fillId="0" borderId="21" xfId="6" applyNumberFormat="1" applyFont="1" applyBorder="1"/>
    <xf numFmtId="4" fontId="13" fillId="3" borderId="32" xfId="6" applyNumberFormat="1" applyFont="1" applyFill="1" applyBorder="1" applyAlignment="1">
      <alignment horizontal="center"/>
    </xf>
    <xf numFmtId="0" fontId="14" fillId="0" borderId="19" xfId="6" applyFont="1" applyBorder="1"/>
    <xf numFmtId="0" fontId="14" fillId="0" borderId="12" xfId="6" applyFont="1" applyBorder="1"/>
    <xf numFmtId="0" fontId="14" fillId="0" borderId="17" xfId="6" applyFont="1" applyBorder="1"/>
    <xf numFmtId="4" fontId="14" fillId="0" borderId="0" xfId="6" applyNumberFormat="1" applyFont="1"/>
    <xf numFmtId="4" fontId="17" fillId="0" borderId="0" xfId="6" applyNumberFormat="1" applyFont="1"/>
    <xf numFmtId="0" fontId="13" fillId="0" borderId="17" xfId="6" applyFont="1" applyBorder="1"/>
    <xf numFmtId="0" fontId="14" fillId="0" borderId="19" xfId="6" applyFont="1" applyBorder="1" applyAlignment="1">
      <alignment horizontal="center"/>
    </xf>
    <xf numFmtId="4" fontId="14" fillId="0" borderId="19" xfId="6" applyNumberFormat="1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4" fontId="14" fillId="0" borderId="12" xfId="6" applyNumberFormat="1" applyFont="1" applyBorder="1" applyAlignment="1">
      <alignment horizontal="center"/>
    </xf>
    <xf numFmtId="0" fontId="13" fillId="0" borderId="17" xfId="6" applyFont="1" applyBorder="1" applyAlignment="1">
      <alignment horizontal="center"/>
    </xf>
    <xf numFmtId="4" fontId="13" fillId="0" borderId="17" xfId="6" applyNumberFormat="1" applyFont="1" applyBorder="1" applyAlignment="1">
      <alignment horizontal="center"/>
    </xf>
    <xf numFmtId="0" fontId="14" fillId="0" borderId="17" xfId="6" applyFont="1" applyBorder="1" applyAlignment="1">
      <alignment horizontal="center"/>
    </xf>
    <xf numFmtId="43" fontId="14" fillId="0" borderId="12" xfId="1" applyFont="1" applyBorder="1" applyAlignment="1">
      <alignment horizontal="center"/>
    </xf>
    <xf numFmtId="43" fontId="14" fillId="0" borderId="22" xfId="1" applyFont="1" applyBorder="1"/>
    <xf numFmtId="43" fontId="13" fillId="0" borderId="32" xfId="1" applyFont="1" applyBorder="1"/>
    <xf numFmtId="0" fontId="14" fillId="0" borderId="29" xfId="0" applyFont="1" applyBorder="1"/>
    <xf numFmtId="0" fontId="14" fillId="0" borderId="12" xfId="6" applyNumberFormat="1" applyFont="1" applyBorder="1" applyAlignment="1">
      <alignment horizontal="center"/>
    </xf>
    <xf numFmtId="0" fontId="14" fillId="0" borderId="12" xfId="6" applyNumberFormat="1" applyFont="1" applyBorder="1" applyAlignment="1"/>
    <xf numFmtId="0" fontId="17" fillId="0" borderId="0" xfId="6" applyFont="1" applyFill="1"/>
    <xf numFmtId="0" fontId="13" fillId="0" borderId="22" xfId="6" applyFont="1" applyBorder="1"/>
    <xf numFmtId="0" fontId="17" fillId="0" borderId="18" xfId="6" applyFont="1" applyBorder="1"/>
    <xf numFmtId="0" fontId="23" fillId="0" borderId="0" xfId="6" applyFont="1" applyBorder="1"/>
    <xf numFmtId="0" fontId="14" fillId="0" borderId="0" xfId="6" applyFont="1" applyBorder="1"/>
    <xf numFmtId="0" fontId="14" fillId="0" borderId="18" xfId="6" applyFont="1" applyBorder="1"/>
    <xf numFmtId="0" fontId="14" fillId="0" borderId="0" xfId="6" applyFont="1" applyAlignment="1">
      <alignment horizontal="center"/>
    </xf>
    <xf numFmtId="0" fontId="13" fillId="0" borderId="0" xfId="6" applyFont="1" applyBorder="1"/>
    <xf numFmtId="43" fontId="13" fillId="0" borderId="12" xfId="1" applyFont="1" applyBorder="1" applyAlignment="1">
      <alignment horizontal="center"/>
    </xf>
    <xf numFmtId="1" fontId="17" fillId="0" borderId="0" xfId="6" applyNumberFormat="1" applyFont="1"/>
    <xf numFmtId="2" fontId="17" fillId="0" borderId="0" xfId="6" applyNumberFormat="1" applyFont="1" applyBorder="1"/>
    <xf numFmtId="0" fontId="20" fillId="0" borderId="0" xfId="6" applyFont="1"/>
    <xf numFmtId="2" fontId="14" fillId="0" borderId="0" xfId="6" applyNumberFormat="1" applyFont="1" applyBorder="1"/>
    <xf numFmtId="0" fontId="13" fillId="3" borderId="20" xfId="6" applyFont="1" applyFill="1" applyBorder="1"/>
    <xf numFmtId="0" fontId="13" fillId="3" borderId="32" xfId="6" applyFont="1" applyFill="1" applyBorder="1"/>
    <xf numFmtId="0" fontId="13" fillId="3" borderId="33" xfId="6" applyFont="1" applyFill="1" applyBorder="1"/>
    <xf numFmtId="0" fontId="14" fillId="3" borderId="1" xfId="6" applyFont="1" applyFill="1" applyBorder="1" applyAlignment="1">
      <alignment horizontal="center"/>
    </xf>
    <xf numFmtId="0" fontId="14" fillId="3" borderId="12" xfId="6" applyFont="1" applyFill="1" applyBorder="1" applyAlignment="1">
      <alignment wrapText="1"/>
    </xf>
    <xf numFmtId="0" fontId="14" fillId="3" borderId="12" xfId="6" applyFont="1" applyFill="1" applyBorder="1" applyAlignment="1">
      <alignment horizontal="center"/>
    </xf>
    <xf numFmtId="0" fontId="14" fillId="0" borderId="0" xfId="6" applyFont="1" applyAlignment="1">
      <alignment horizontal="left"/>
    </xf>
    <xf numFmtId="4" fontId="14" fillId="0" borderId="21" xfId="1" applyNumberFormat="1" applyFont="1" applyBorder="1"/>
    <xf numFmtId="4" fontId="14" fillId="0" borderId="21" xfId="0" applyNumberFormat="1" applyFont="1" applyBorder="1"/>
    <xf numFmtId="4" fontId="14" fillId="0" borderId="21" xfId="0" applyNumberFormat="1" applyFont="1" applyBorder="1" applyAlignment="1">
      <alignment horizontal="center"/>
    </xf>
    <xf numFmtId="4" fontId="13" fillId="0" borderId="21" xfId="1" applyNumberFormat="1" applyFont="1" applyBorder="1"/>
    <xf numFmtId="0" fontId="14" fillId="0" borderId="21" xfId="0" applyFont="1" applyFill="1" applyBorder="1"/>
    <xf numFmtId="1" fontId="14" fillId="0" borderId="23" xfId="0" applyNumberFormat="1" applyFont="1" applyBorder="1"/>
    <xf numFmtId="43" fontId="14" fillId="0" borderId="21" xfId="0" applyNumberFormat="1" applyFont="1" applyBorder="1" applyAlignment="1">
      <alignment horizontal="center"/>
    </xf>
    <xf numFmtId="43" fontId="14" fillId="0" borderId="21" xfId="1" applyNumberFormat="1" applyFont="1" applyBorder="1" applyAlignment="1">
      <alignment horizontal="center"/>
    </xf>
    <xf numFmtId="43" fontId="13" fillId="0" borderId="34" xfId="1" applyNumberFormat="1" applyFont="1" applyBorder="1"/>
    <xf numFmtId="1" fontId="14" fillId="0" borderId="22" xfId="0" applyNumberFormat="1" applyFont="1" applyBorder="1"/>
    <xf numFmtId="4" fontId="14" fillId="0" borderId="22" xfId="0" applyNumberFormat="1" applyFont="1" applyBorder="1"/>
    <xf numFmtId="0" fontId="13" fillId="0" borderId="32" xfId="0" applyFont="1" applyBorder="1"/>
    <xf numFmtId="1" fontId="14" fillId="0" borderId="32" xfId="0" applyNumberFormat="1" applyFont="1" applyBorder="1"/>
    <xf numFmtId="43" fontId="14" fillId="0" borderId="35" xfId="1" applyFont="1" applyBorder="1"/>
    <xf numFmtId="43" fontId="14" fillId="0" borderId="21" xfId="1" applyFont="1" applyFill="1" applyBorder="1"/>
    <xf numFmtId="43" fontId="13" fillId="0" borderId="21" xfId="1" applyFont="1" applyFill="1" applyBorder="1"/>
    <xf numFmtId="0" fontId="13" fillId="0" borderId="21" xfId="0" applyFont="1" applyFill="1" applyBorder="1"/>
    <xf numFmtId="43" fontId="13" fillId="0" borderId="21" xfId="1" applyNumberFormat="1" applyFont="1" applyBorder="1"/>
    <xf numFmtId="43" fontId="13" fillId="0" borderId="35" xfId="1" applyFont="1" applyBorder="1"/>
    <xf numFmtId="43" fontId="13" fillId="0" borderId="21" xfId="0" applyNumberFormat="1" applyFont="1" applyBorder="1"/>
    <xf numFmtId="43" fontId="13" fillId="0" borderId="32" xfId="0" applyNumberFormat="1" applyFont="1" applyBorder="1"/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0" applyNumberFormat="1" applyFont="1" applyBorder="1" applyAlignment="1">
      <alignment wrapText="1"/>
    </xf>
    <xf numFmtId="2" fontId="14" fillId="0" borderId="21" xfId="0" applyNumberFormat="1" applyFont="1" applyBorder="1" applyAlignment="1">
      <alignment wrapText="1"/>
    </xf>
    <xf numFmtId="2" fontId="14" fillId="0" borderId="19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2" fontId="13" fillId="0" borderId="21" xfId="0" applyNumberFormat="1" applyFont="1" applyBorder="1"/>
    <xf numFmtId="2" fontId="13" fillId="0" borderId="21" xfId="0" applyNumberFormat="1" applyFont="1" applyBorder="1" applyAlignment="1">
      <alignment wrapText="1"/>
    </xf>
    <xf numFmtId="43" fontId="14" fillId="0" borderId="12" xfId="1" applyFont="1" applyFill="1" applyBorder="1" applyAlignment="1">
      <alignment wrapText="1"/>
    </xf>
    <xf numFmtId="43" fontId="14" fillId="0" borderId="0" xfId="1" applyFont="1" applyFill="1" applyBorder="1"/>
    <xf numFmtId="165" fontId="14" fillId="0" borderId="0" xfId="0" applyNumberFormat="1" applyFont="1" applyFill="1" applyBorder="1"/>
    <xf numFmtId="0" fontId="13" fillId="0" borderId="0" xfId="0" applyFont="1" applyBorder="1" applyAlignment="1">
      <alignment wrapText="1"/>
    </xf>
    <xf numFmtId="0" fontId="22" fillId="2" borderId="0" xfId="0" applyFont="1" applyFill="1" applyBorder="1" applyAlignment="1">
      <alignment horizontal="center"/>
    </xf>
    <xf numFmtId="0" fontId="13" fillId="0" borderId="1" xfId="0" applyFont="1" applyBorder="1"/>
    <xf numFmtId="0" fontId="14" fillId="0" borderId="29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4" fillId="0" borderId="32" xfId="0" applyFont="1" applyBorder="1"/>
    <xf numFmtId="43" fontId="14" fillId="0" borderId="12" xfId="1" applyFont="1" applyBorder="1" applyAlignment="1"/>
    <xf numFmtId="4" fontId="14" fillId="0" borderId="12" xfId="0" applyNumberFormat="1" applyFont="1" applyBorder="1" applyAlignment="1"/>
    <xf numFmtId="0" fontId="13" fillId="3" borderId="28" xfId="7" applyFont="1" applyFill="1" applyBorder="1" applyAlignment="1">
      <alignment horizontal="center"/>
    </xf>
    <xf numFmtId="0" fontId="13" fillId="3" borderId="17" xfId="7" applyFont="1" applyFill="1" applyBorder="1" applyAlignment="1">
      <alignment horizontal="center"/>
    </xf>
    <xf numFmtId="0" fontId="13" fillId="3" borderId="28" xfId="0" applyFont="1" applyFill="1" applyBorder="1" applyAlignment="1">
      <alignment wrapText="1"/>
    </xf>
    <xf numFmtId="0" fontId="4" fillId="0" borderId="0" xfId="6" applyFont="1"/>
    <xf numFmtId="0" fontId="23" fillId="0" borderId="0" xfId="6" applyFont="1" applyBorder="1" applyAlignment="1">
      <alignment horizontal="center"/>
    </xf>
    <xf numFmtId="0" fontId="22" fillId="0" borderId="0" xfId="6" applyFont="1" applyBorder="1"/>
    <xf numFmtId="0" fontId="17" fillId="0" borderId="18" xfId="6" applyFont="1" applyBorder="1" applyAlignment="1">
      <alignment horizontal="center"/>
    </xf>
    <xf numFmtId="43" fontId="14" fillId="0" borderId="0" xfId="0" applyNumberFormat="1" applyFont="1"/>
    <xf numFmtId="0" fontId="13" fillId="2" borderId="0" xfId="7" applyFont="1" applyFill="1" applyAlignment="1"/>
    <xf numFmtId="0" fontId="13" fillId="2" borderId="0" xfId="5" applyFont="1" applyFill="1" applyAlignment="1">
      <alignment horizontal="right"/>
    </xf>
    <xf numFmtId="0" fontId="13" fillId="2" borderId="0" xfId="7" applyFont="1" applyFill="1" applyAlignment="1">
      <alignment horizontal="right"/>
    </xf>
    <xf numFmtId="43" fontId="13" fillId="0" borderId="0" xfId="1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24" xfId="5" applyFont="1" applyBorder="1"/>
    <xf numFmtId="0" fontId="14" fillId="0" borderId="25" xfId="5" applyFont="1" applyBorder="1"/>
    <xf numFmtId="0" fontId="14" fillId="0" borderId="25" xfId="5" applyFont="1" applyBorder="1" applyAlignment="1">
      <alignment wrapText="1"/>
    </xf>
    <xf numFmtId="0" fontId="14" fillId="0" borderId="26" xfId="5" applyFont="1" applyBorder="1"/>
    <xf numFmtId="43" fontId="13" fillId="0" borderId="0" xfId="1" applyFont="1" applyBorder="1"/>
    <xf numFmtId="0" fontId="14" fillId="0" borderId="18" xfId="0" applyFont="1" applyBorder="1" applyAlignment="1">
      <alignment horizontal="center"/>
    </xf>
    <xf numFmtId="0" fontId="13" fillId="0" borderId="17" xfId="0" applyFont="1" applyBorder="1" applyAlignment="1">
      <alignment wrapText="1"/>
    </xf>
    <xf numFmtId="43" fontId="14" fillId="0" borderId="12" xfId="1" applyFont="1" applyFill="1" applyBorder="1" applyAlignment="1">
      <alignment vertical="top" wrapText="1"/>
    </xf>
    <xf numFmtId="43" fontId="14" fillId="0" borderId="12" xfId="1" applyNumberFormat="1" applyFont="1" applyBorder="1" applyAlignment="1">
      <alignment horizontal="right" vertical="top"/>
    </xf>
    <xf numFmtId="0" fontId="16" fillId="3" borderId="32" xfId="6" applyFont="1" applyFill="1" applyBorder="1" applyAlignment="1">
      <alignment horizontal="center"/>
    </xf>
    <xf numFmtId="43" fontId="13" fillId="0" borderId="0" xfId="1" applyFont="1" applyBorder="1" applyAlignment="1">
      <alignment horizontal="right"/>
    </xf>
    <xf numFmtId="0" fontId="14" fillId="0" borderId="12" xfId="5" applyFont="1" applyBorder="1" applyAlignment="1">
      <alignment horizontal="right"/>
    </xf>
    <xf numFmtId="0" fontId="14" fillId="2" borderId="32" xfId="7" applyFont="1" applyFill="1" applyBorder="1" applyAlignment="1">
      <alignment horizontal="center"/>
    </xf>
    <xf numFmtId="43" fontId="17" fillId="0" borderId="26" xfId="1" applyFont="1" applyFill="1" applyBorder="1"/>
    <xf numFmtId="0" fontId="17" fillId="0" borderId="26" xfId="0" applyFont="1" applyFill="1" applyBorder="1"/>
    <xf numFmtId="0" fontId="17" fillId="0" borderId="27" xfId="0" applyFont="1" applyFill="1" applyBorder="1"/>
    <xf numFmtId="0" fontId="17" fillId="0" borderId="26" xfId="0" applyFont="1" applyBorder="1"/>
    <xf numFmtId="0" fontId="33" fillId="0" borderId="0" xfId="0" applyFont="1"/>
    <xf numFmtId="166" fontId="14" fillId="0" borderId="12" xfId="1" applyNumberFormat="1" applyFont="1" applyFill="1" applyBorder="1"/>
    <xf numFmtId="43" fontId="14" fillId="2" borderId="17" xfId="1" applyFont="1" applyFill="1" applyBorder="1" applyAlignment="1">
      <alignment horizontal="center"/>
    </xf>
    <xf numFmtId="43" fontId="14" fillId="2" borderId="12" xfId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4" fillId="0" borderId="12" xfId="6" applyFont="1" applyBorder="1" applyAlignment="1">
      <alignment horizontal="left"/>
    </xf>
    <xf numFmtId="0" fontId="17" fillId="0" borderId="1" xfId="6" applyFont="1" applyBorder="1"/>
    <xf numFmtId="43" fontId="17" fillId="0" borderId="12" xfId="1" applyFont="1" applyBorder="1"/>
    <xf numFmtId="43" fontId="17" fillId="0" borderId="12" xfId="1" applyFont="1" applyFill="1" applyBorder="1"/>
    <xf numFmtId="0" fontId="34" fillId="0" borderId="0" xfId="6" applyFont="1"/>
    <xf numFmtId="0" fontId="14" fillId="0" borderId="12" xfId="0" applyFont="1" applyBorder="1" applyAlignment="1">
      <alignment horizontal="right"/>
    </xf>
    <xf numFmtId="43" fontId="14" fillId="0" borderId="32" xfId="1" applyFont="1" applyBorder="1"/>
    <xf numFmtId="43" fontId="13" fillId="0" borderId="0" xfId="0" applyNumberFormat="1" applyFont="1" applyBorder="1"/>
    <xf numFmtId="167" fontId="13" fillId="0" borderId="0" xfId="0" applyNumberFormat="1" applyFont="1" applyBorder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43" fontId="13" fillId="3" borderId="32" xfId="1" applyFont="1" applyFill="1" applyBorder="1" applyAlignment="1">
      <alignment horizontal="center" vertical="justify" wrapText="1"/>
    </xf>
    <xf numFmtId="43" fontId="13" fillId="3" borderId="32" xfId="1" applyFont="1" applyFill="1" applyBorder="1" applyAlignment="1">
      <alignment horizontal="center" vertical="center" wrapText="1"/>
    </xf>
    <xf numFmtId="43" fontId="13" fillId="4" borderId="32" xfId="0" applyNumberFormat="1" applyFont="1" applyFill="1" applyBorder="1" applyAlignment="1">
      <alignment horizontal="center" vertical="justify" wrapText="1"/>
    </xf>
    <xf numFmtId="43" fontId="13" fillId="4" borderId="36" xfId="0" applyNumberFormat="1" applyFont="1" applyFill="1" applyBorder="1" applyAlignment="1">
      <alignment horizontal="center" vertical="justify" wrapText="1"/>
    </xf>
    <xf numFmtId="43" fontId="13" fillId="4" borderId="17" xfId="0" applyNumberFormat="1" applyFont="1" applyFill="1" applyBorder="1" applyAlignment="1">
      <alignment horizontal="center" vertical="center" wrapText="1"/>
    </xf>
    <xf numFmtId="43" fontId="13" fillId="4" borderId="22" xfId="0" applyNumberFormat="1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wrapText="1"/>
    </xf>
    <xf numFmtId="0" fontId="13" fillId="4" borderId="36" xfId="0" applyFont="1" applyFill="1" applyBorder="1" applyAlignment="1">
      <alignment horizontal="center" wrapText="1"/>
    </xf>
    <xf numFmtId="166" fontId="17" fillId="0" borderId="27" xfId="0" applyNumberFormat="1" applyFont="1" applyBorder="1"/>
    <xf numFmtId="43" fontId="14" fillId="2" borderId="17" xfId="1" applyFont="1" applyFill="1" applyBorder="1" applyAlignment="1"/>
    <xf numFmtId="166" fontId="14" fillId="0" borderId="1" xfId="1" applyNumberFormat="1" applyFont="1" applyBorder="1"/>
    <xf numFmtId="43" fontId="14" fillId="0" borderId="1" xfId="1" applyFont="1" applyBorder="1"/>
    <xf numFmtId="43" fontId="13" fillId="0" borderId="20" xfId="1" applyFont="1" applyBorder="1"/>
    <xf numFmtId="43" fontId="13" fillId="0" borderId="12" xfId="1" applyFont="1" applyFill="1" applyBorder="1"/>
    <xf numFmtId="0" fontId="13" fillId="0" borderId="12" xfId="0" applyFont="1" applyFill="1" applyBorder="1" applyAlignment="1">
      <alignment wrapText="1"/>
    </xf>
    <xf numFmtId="43" fontId="13" fillId="0" borderId="17" xfId="1" applyFont="1" applyFill="1" applyBorder="1"/>
    <xf numFmtId="43" fontId="13" fillId="0" borderId="0" xfId="1" applyFont="1" applyFill="1" applyBorder="1"/>
    <xf numFmtId="0" fontId="13" fillId="0" borderId="0" xfId="0" applyFont="1" applyFill="1"/>
    <xf numFmtId="0" fontId="14" fillId="0" borderId="18" xfId="0" applyFont="1" applyFill="1" applyBorder="1"/>
    <xf numFmtId="43" fontId="13" fillId="0" borderId="12" xfId="1" applyFont="1" applyFill="1" applyBorder="1" applyAlignment="1">
      <alignment vertical="top"/>
    </xf>
    <xf numFmtId="43" fontId="13" fillId="0" borderId="9" xfId="1" applyFont="1" applyFill="1" applyBorder="1"/>
    <xf numFmtId="43" fontId="13" fillId="0" borderId="0" xfId="0" applyNumberFormat="1" applyFont="1" applyFill="1" applyBorder="1"/>
    <xf numFmtId="2" fontId="17" fillId="0" borderId="12" xfId="6" applyNumberFormat="1" applyFont="1" applyBorder="1"/>
    <xf numFmtId="43" fontId="17" fillId="0" borderId="0" xfId="6" applyNumberFormat="1" applyFont="1"/>
    <xf numFmtId="2" fontId="14" fillId="0" borderId="7" xfId="0" applyNumberFormat="1" applyFont="1" applyFill="1" applyBorder="1"/>
    <xf numFmtId="0" fontId="14" fillId="0" borderId="0" xfId="6" applyFont="1" applyAlignment="1">
      <alignment horizontal="right"/>
    </xf>
    <xf numFmtId="43" fontId="17" fillId="2" borderId="12" xfId="1" applyFont="1" applyFill="1" applyBorder="1"/>
    <xf numFmtId="43" fontId="17" fillId="2" borderId="26" xfId="1" applyFont="1" applyFill="1" applyBorder="1"/>
    <xf numFmtId="43" fontId="17" fillId="2" borderId="27" xfId="1" applyFont="1" applyFill="1" applyBorder="1"/>
    <xf numFmtId="0" fontId="35" fillId="0" borderId="0" xfId="0" applyFont="1" applyBorder="1" applyAlignment="1">
      <alignment horizontal="left" indent="3"/>
    </xf>
    <xf numFmtId="164" fontId="14" fillId="0" borderId="0" xfId="0" applyNumberFormat="1" applyFont="1"/>
    <xf numFmtId="43" fontId="17" fillId="0" borderId="0" xfId="1" applyFont="1" applyBorder="1"/>
    <xf numFmtId="43" fontId="14" fillId="0" borderId="0" xfId="0" applyNumberFormat="1" applyFont="1" applyAlignment="1"/>
    <xf numFmtId="0" fontId="16" fillId="0" borderId="0" xfId="0" applyFont="1" applyFill="1" applyBorder="1"/>
    <xf numFmtId="0" fontId="16" fillId="2" borderId="0" xfId="7" applyFont="1" applyFill="1" applyAlignment="1">
      <alignment horizontal="right"/>
    </xf>
    <xf numFmtId="0" fontId="13" fillId="0" borderId="0" xfId="0" applyFont="1" applyAlignment="1">
      <alignment horizontal="left"/>
    </xf>
    <xf numFmtId="164" fontId="14" fillId="0" borderId="12" xfId="0" applyNumberFormat="1" applyFont="1" applyFill="1" applyBorder="1"/>
    <xf numFmtId="43" fontId="14" fillId="0" borderId="21" xfId="0" applyNumberFormat="1" applyFont="1" applyFill="1" applyBorder="1"/>
    <xf numFmtId="0" fontId="36" fillId="0" borderId="12" xfId="0" applyFont="1" applyBorder="1"/>
    <xf numFmtId="0" fontId="13" fillId="0" borderId="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4" fillId="2" borderId="12" xfId="0" applyFont="1" applyFill="1" applyBorder="1"/>
    <xf numFmtId="0" fontId="14" fillId="0" borderId="1" xfId="0" applyFont="1" applyFill="1" applyBorder="1" applyAlignment="1">
      <alignment horizontal="center"/>
    </xf>
    <xf numFmtId="0" fontId="13" fillId="2" borderId="12" xfId="0" applyFont="1" applyFill="1" applyBorder="1"/>
    <xf numFmtId="0" fontId="36" fillId="0" borderId="21" xfId="0" applyFont="1" applyBorder="1"/>
    <xf numFmtId="43" fontId="36" fillId="0" borderId="12" xfId="0" applyNumberFormat="1" applyFont="1" applyBorder="1"/>
    <xf numFmtId="43" fontId="36" fillId="0" borderId="21" xfId="0" applyNumberFormat="1" applyFont="1" applyBorder="1"/>
    <xf numFmtId="43" fontId="36" fillId="0" borderId="17" xfId="0" applyNumberFormat="1" applyFont="1" applyBorder="1"/>
    <xf numFmtId="43" fontId="36" fillId="0" borderId="32" xfId="0" applyNumberFormat="1" applyFont="1" applyBorder="1"/>
    <xf numFmtId="164" fontId="0" fillId="0" borderId="0" xfId="0" applyNumberFormat="1"/>
    <xf numFmtId="0" fontId="7" fillId="0" borderId="0" xfId="0" applyFont="1"/>
    <xf numFmtId="43" fontId="7" fillId="0" borderId="0" xfId="1" applyFont="1"/>
    <xf numFmtId="2" fontId="14" fillId="0" borderId="37" xfId="0" applyNumberFormat="1" applyFont="1" applyBorder="1"/>
    <xf numFmtId="166" fontId="14" fillId="0" borderId="37" xfId="1" applyNumberFormat="1" applyFont="1" applyBorder="1"/>
    <xf numFmtId="43" fontId="14" fillId="0" borderId="37" xfId="1" applyFont="1" applyBorder="1"/>
    <xf numFmtId="43" fontId="13" fillId="0" borderId="38" xfId="1" applyFont="1" applyBorder="1"/>
    <xf numFmtId="0" fontId="28" fillId="2" borderId="12" xfId="7" applyFont="1" applyFill="1" applyBorder="1"/>
    <xf numFmtId="0" fontId="17" fillId="0" borderId="0" xfId="0" applyFont="1" applyAlignment="1">
      <alignment wrapText="1"/>
    </xf>
    <xf numFmtId="43" fontId="17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0" fontId="14" fillId="5" borderId="0" xfId="0" applyFont="1" applyFill="1"/>
    <xf numFmtId="0" fontId="2" fillId="0" borderId="0" xfId="0" applyFont="1"/>
    <xf numFmtId="0" fontId="14" fillId="0" borderId="1" xfId="6" applyFont="1" applyBorder="1" applyAlignment="1">
      <alignment horizontal="center"/>
    </xf>
    <xf numFmtId="0" fontId="14" fillId="0" borderId="21" xfId="6" applyFont="1" applyBorder="1" applyAlignment="1">
      <alignment wrapText="1"/>
    </xf>
    <xf numFmtId="2" fontId="14" fillId="0" borderId="12" xfId="0" applyNumberFormat="1" applyFont="1" applyFill="1" applyBorder="1"/>
    <xf numFmtId="0" fontId="14" fillId="0" borderId="29" xfId="6" applyFont="1" applyBorder="1"/>
    <xf numFmtId="0" fontId="14" fillId="0" borderId="23" xfId="6" applyFont="1" applyBorder="1"/>
    <xf numFmtId="0" fontId="39" fillId="0" borderId="1" xfId="0" applyFont="1" applyBorder="1"/>
    <xf numFmtId="43" fontId="17" fillId="0" borderId="21" xfId="2" applyFont="1" applyBorder="1"/>
    <xf numFmtId="2" fontId="14" fillId="0" borderId="19" xfId="0" applyNumberFormat="1" applyFont="1" applyBorder="1"/>
    <xf numFmtId="43" fontId="14" fillId="0" borderId="21" xfId="1" applyFont="1" applyBorder="1" applyAlignment="1">
      <alignment horizontal="center"/>
    </xf>
    <xf numFmtId="43" fontId="13" fillId="0" borderId="36" xfId="1" applyFont="1" applyBorder="1"/>
    <xf numFmtId="43" fontId="17" fillId="0" borderId="0" xfId="1" applyFont="1" applyFill="1" applyBorder="1"/>
    <xf numFmtId="43" fontId="40" fillId="0" borderId="12" xfId="1" applyFont="1" applyFill="1" applyBorder="1"/>
    <xf numFmtId="43" fontId="40" fillId="0" borderId="12" xfId="1" applyFont="1" applyFill="1" applyBorder="1" applyAlignment="1">
      <alignment wrapText="1"/>
    </xf>
    <xf numFmtId="0" fontId="14" fillId="5" borderId="32" xfId="0" applyFont="1" applyFill="1" applyBorder="1"/>
    <xf numFmtId="0" fontId="14" fillId="0" borderId="32" xfId="0" applyFont="1" applyBorder="1" applyAlignment="1">
      <alignment horizontal="left"/>
    </xf>
    <xf numFmtId="0" fontId="17" fillId="0" borderId="0" xfId="0" applyFont="1"/>
    <xf numFmtId="0" fontId="13" fillId="5" borderId="32" xfId="0" applyFont="1" applyFill="1" applyBorder="1"/>
    <xf numFmtId="43" fontId="14" fillId="2" borderId="21" xfId="1" applyFont="1" applyFill="1" applyBorder="1" applyAlignment="1">
      <alignment horizontal="center"/>
    </xf>
    <xf numFmtId="0" fontId="17" fillId="0" borderId="0" xfId="6" applyFont="1" applyAlignment="1">
      <alignment horizontal="left"/>
    </xf>
    <xf numFmtId="0" fontId="16" fillId="3" borderId="32" xfId="6" applyFont="1" applyFill="1" applyBorder="1" applyAlignment="1">
      <alignment horizontal="center" wrapText="1"/>
    </xf>
    <xf numFmtId="0" fontId="14" fillId="2" borderId="32" xfId="6" applyFont="1" applyFill="1" applyBorder="1"/>
    <xf numFmtId="0" fontId="14" fillId="0" borderId="32" xfId="6" applyFont="1" applyBorder="1" applyAlignment="1">
      <alignment horizontal="center"/>
    </xf>
    <xf numFmtId="0" fontId="14" fillId="0" borderId="32" xfId="6" applyFont="1" applyBorder="1"/>
    <xf numFmtId="0" fontId="17" fillId="2" borderId="32" xfId="6" applyFont="1" applyFill="1" applyBorder="1"/>
    <xf numFmtId="0" fontId="4" fillId="0" borderId="32" xfId="6" applyBorder="1"/>
    <xf numFmtId="1" fontId="14" fillId="2" borderId="32" xfId="6" applyNumberFormat="1" applyFont="1" applyFill="1" applyBorder="1"/>
    <xf numFmtId="0" fontId="37" fillId="2" borderId="32" xfId="6" applyFont="1" applyFill="1" applyBorder="1"/>
    <xf numFmtId="43" fontId="41" fillId="0" borderId="0" xfId="0" applyNumberFormat="1" applyFont="1" applyAlignment="1">
      <alignment horizontal="right"/>
    </xf>
    <xf numFmtId="43" fontId="42" fillId="0" borderId="0" xfId="0" applyNumberFormat="1" applyFont="1" applyAlignment="1">
      <alignment horizontal="right"/>
    </xf>
    <xf numFmtId="43" fontId="4" fillId="0" borderId="0" xfId="6" applyNumberFormat="1"/>
    <xf numFmtId="0" fontId="14" fillId="0" borderId="1" xfId="6" applyFont="1" applyBorder="1" applyAlignment="1">
      <alignment horizontal="center"/>
    </xf>
    <xf numFmtId="43" fontId="0" fillId="0" borderId="0" xfId="0" applyNumberFormat="1" applyFill="1"/>
    <xf numFmtId="0" fontId="13" fillId="3" borderId="19" xfId="6" applyFont="1" applyFill="1" applyBorder="1" applyAlignment="1">
      <alignment horizontal="center" vertical="center" wrapText="1"/>
    </xf>
    <xf numFmtId="0" fontId="13" fillId="3" borderId="22" xfId="6" applyFont="1" applyFill="1" applyBorder="1" applyAlignment="1">
      <alignment horizontal="center"/>
    </xf>
    <xf numFmtId="0" fontId="13" fillId="3" borderId="19" xfId="6" applyFont="1" applyFill="1" applyBorder="1" applyAlignment="1">
      <alignment horizontal="center"/>
    </xf>
    <xf numFmtId="0" fontId="13" fillId="3" borderId="12" xfId="6" applyFont="1" applyFill="1" applyBorder="1" applyAlignment="1">
      <alignment horizontal="center"/>
    </xf>
    <xf numFmtId="43" fontId="0" fillId="0" borderId="32" xfId="1" applyNumberFormat="1" applyFont="1" applyBorder="1"/>
    <xf numFmtId="166" fontId="13" fillId="0" borderId="0" xfId="1" applyNumberFormat="1" applyFont="1" applyAlignment="1">
      <alignment horizontal="center"/>
    </xf>
    <xf numFmtId="43" fontId="40" fillId="0" borderId="21" xfId="1" applyFont="1" applyBorder="1"/>
    <xf numFmtId="43" fontId="17" fillId="5" borderId="26" xfId="1" applyFont="1" applyFill="1" applyBorder="1"/>
    <xf numFmtId="43" fontId="14" fillId="2" borderId="12" xfId="1" applyNumberFormat="1" applyFont="1" applyFill="1" applyBorder="1" applyAlignment="1">
      <alignment horizontal="center"/>
    </xf>
    <xf numFmtId="43" fontId="17" fillId="0" borderId="12" xfId="1" applyFont="1" applyBorder="1" applyAlignment="1">
      <alignment horizontal="right"/>
    </xf>
    <xf numFmtId="0" fontId="13" fillId="3" borderId="12" xfId="6" applyNumberFormat="1" applyFont="1" applyFill="1" applyBorder="1" applyAlignment="1">
      <alignment horizontal="center" wrapText="1"/>
    </xf>
    <xf numFmtId="0" fontId="14" fillId="5" borderId="32" xfId="6" applyFont="1" applyFill="1" applyBorder="1"/>
    <xf numFmtId="0" fontId="17" fillId="5" borderId="32" xfId="6" applyFont="1" applyFill="1" applyBorder="1"/>
    <xf numFmtId="1" fontId="14" fillId="5" borderId="32" xfId="6" applyNumberFormat="1" applyFont="1" applyFill="1" applyBorder="1"/>
    <xf numFmtId="0" fontId="14" fillId="0" borderId="32" xfId="6" applyFont="1" applyBorder="1" applyAlignment="1">
      <alignment horizontal="center" vertical="center"/>
    </xf>
    <xf numFmtId="0" fontId="14" fillId="5" borderId="32" xfId="6" applyFont="1" applyFill="1" applyBorder="1" applyAlignment="1">
      <alignment wrapText="1"/>
    </xf>
    <xf numFmtId="2" fontId="14" fillId="5" borderId="32" xfId="6" applyNumberFormat="1" applyFont="1" applyFill="1" applyBorder="1"/>
    <xf numFmtId="1" fontId="14" fillId="6" borderId="32" xfId="6" applyNumberFormat="1" applyFont="1" applyFill="1" applyBorder="1"/>
    <xf numFmtId="0" fontId="13" fillId="3" borderId="12" xfId="6" applyFont="1" applyFill="1" applyBorder="1" applyAlignment="1">
      <alignment horizontal="center" vertical="center" wrapText="1"/>
    </xf>
    <xf numFmtId="0" fontId="13" fillId="3" borderId="17" xfId="6" applyFont="1" applyFill="1" applyBorder="1" applyAlignment="1">
      <alignment horizontal="center" vertical="center" wrapText="1"/>
    </xf>
    <xf numFmtId="0" fontId="13" fillId="2" borderId="27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13" fillId="3" borderId="19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1" fontId="13" fillId="3" borderId="33" xfId="0" applyNumberFormat="1" applyFont="1" applyFill="1" applyBorder="1" applyAlignment="1">
      <alignment horizontal="center"/>
    </xf>
    <xf numFmtId="1" fontId="13" fillId="3" borderId="36" xfId="0" applyNumberFormat="1" applyFont="1" applyFill="1" applyBorder="1" applyAlignment="1">
      <alignment horizontal="center"/>
    </xf>
    <xf numFmtId="1" fontId="13" fillId="3" borderId="2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2" fontId="14" fillId="0" borderId="39" xfId="0" applyNumberFormat="1" applyFont="1" applyBorder="1" applyAlignment="1">
      <alignment wrapText="1"/>
    </xf>
    <xf numFmtId="2" fontId="14" fillId="0" borderId="0" xfId="0" applyNumberFormat="1" applyFont="1" applyAlignment="1">
      <alignment wrapText="1"/>
    </xf>
    <xf numFmtId="0" fontId="13" fillId="3" borderId="32" xfId="0" applyFont="1" applyFill="1" applyBorder="1" applyAlignment="1">
      <alignment horizontal="center" vertical="justify" wrapText="1"/>
    </xf>
    <xf numFmtId="0" fontId="13" fillId="0" borderId="1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4" fillId="0" borderId="31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3" fillId="3" borderId="3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2" borderId="18" xfId="7" applyFont="1" applyFill="1" applyBorder="1" applyAlignment="1">
      <alignment horizontal="right"/>
    </xf>
    <xf numFmtId="0" fontId="18" fillId="2" borderId="0" xfId="7" applyFont="1" applyFill="1" applyBorder="1" applyAlignment="1">
      <alignment horizontal="center"/>
    </xf>
    <xf numFmtId="0" fontId="22" fillId="0" borderId="0" xfId="7" applyFont="1" applyBorder="1" applyAlignment="1">
      <alignment horizontal="center"/>
    </xf>
    <xf numFmtId="0" fontId="13" fillId="3" borderId="32" xfId="7" applyFont="1" applyFill="1" applyBorder="1" applyAlignment="1">
      <alignment horizontal="center"/>
    </xf>
    <xf numFmtId="0" fontId="13" fillId="3" borderId="19" xfId="7" applyFont="1" applyFill="1" applyBorder="1" applyAlignment="1">
      <alignment horizontal="center"/>
    </xf>
    <xf numFmtId="0" fontId="13" fillId="3" borderId="17" xfId="7" applyFont="1" applyFill="1" applyBorder="1" applyAlignment="1">
      <alignment horizontal="center"/>
    </xf>
    <xf numFmtId="0" fontId="22" fillId="2" borderId="0" xfId="5" applyFont="1" applyFill="1" applyBorder="1" applyAlignment="1">
      <alignment horizontal="center"/>
    </xf>
    <xf numFmtId="0" fontId="18" fillId="2" borderId="0" xfId="5" applyFont="1" applyFill="1" applyBorder="1" applyAlignment="1">
      <alignment horizontal="center"/>
    </xf>
    <xf numFmtId="0" fontId="14" fillId="2" borderId="18" xfId="7" applyFont="1" applyFill="1" applyBorder="1" applyAlignment="1">
      <alignment horizontal="right"/>
    </xf>
    <xf numFmtId="0" fontId="14" fillId="0" borderId="18" xfId="5" applyFont="1" applyBorder="1" applyAlignment="1"/>
    <xf numFmtId="0" fontId="13" fillId="3" borderId="33" xfId="0" applyFont="1" applyFill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13" fillId="3" borderId="20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22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13" fillId="3" borderId="42" xfId="6" applyFont="1" applyFill="1" applyBorder="1" applyAlignment="1">
      <alignment horizontal="center"/>
    </xf>
    <xf numFmtId="0" fontId="13" fillId="3" borderId="33" xfId="6" applyFont="1" applyFill="1" applyBorder="1" applyAlignment="1">
      <alignment horizontal="center"/>
    </xf>
    <xf numFmtId="0" fontId="13" fillId="3" borderId="36" xfId="6" applyFont="1" applyFill="1" applyBorder="1" applyAlignment="1">
      <alignment horizontal="center"/>
    </xf>
    <xf numFmtId="0" fontId="13" fillId="3" borderId="43" xfId="6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19" xfId="6" applyFont="1" applyFill="1" applyBorder="1" applyAlignment="1">
      <alignment horizontal="center" vertical="center" wrapText="1"/>
    </xf>
    <xf numFmtId="0" fontId="13" fillId="3" borderId="28" xfId="6" applyFont="1" applyFill="1" applyBorder="1" applyAlignment="1">
      <alignment horizontal="center"/>
    </xf>
    <xf numFmtId="0" fontId="13" fillId="3" borderId="18" xfId="6" applyFont="1" applyFill="1" applyBorder="1" applyAlignment="1">
      <alignment horizontal="center"/>
    </xf>
    <xf numFmtId="0" fontId="13" fillId="0" borderId="18" xfId="0" applyFont="1" applyBorder="1" applyAlignment="1">
      <alignment horizontal="right"/>
    </xf>
    <xf numFmtId="0" fontId="13" fillId="3" borderId="12" xfId="0" applyFont="1" applyFill="1" applyBorder="1" applyAlignment="1">
      <alignment horizontal="center" vertical="center"/>
    </xf>
    <xf numFmtId="0" fontId="13" fillId="3" borderId="29" xfId="6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3" borderId="1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2" fillId="0" borderId="0" xfId="5" applyFont="1" applyAlignment="1">
      <alignment horizontal="center"/>
    </xf>
    <xf numFmtId="0" fontId="22" fillId="2" borderId="0" xfId="7" applyFont="1" applyFill="1" applyBorder="1" applyAlignment="1">
      <alignment horizontal="center"/>
    </xf>
    <xf numFmtId="0" fontId="31" fillId="0" borderId="0" xfId="5" applyFont="1" applyAlignment="1">
      <alignment horizontal="center"/>
    </xf>
    <xf numFmtId="0" fontId="13" fillId="2" borderId="0" xfId="7" applyFont="1" applyFill="1" applyBorder="1" applyAlignment="1">
      <alignment horizontal="right"/>
    </xf>
    <xf numFmtId="0" fontId="32" fillId="2" borderId="0" xfId="5" applyFont="1" applyFill="1" applyBorder="1" applyAlignment="1"/>
    <xf numFmtId="0" fontId="32" fillId="0" borderId="18" xfId="5" applyFont="1" applyBorder="1" applyAlignment="1"/>
    <xf numFmtId="0" fontId="14" fillId="0" borderId="28" xfId="6" applyFont="1" applyBorder="1" applyAlignment="1">
      <alignment horizontal="center"/>
    </xf>
    <xf numFmtId="0" fontId="14" fillId="0" borderId="22" xfId="6" applyFont="1" applyBorder="1" applyAlignment="1">
      <alignment horizontal="center"/>
    </xf>
    <xf numFmtId="0" fontId="14" fillId="0" borderId="1" xfId="6" applyFont="1" applyBorder="1" applyAlignment="1">
      <alignment horizontal="center"/>
    </xf>
    <xf numFmtId="0" fontId="14" fillId="0" borderId="21" xfId="6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13" fillId="0" borderId="21" xfId="6" applyFont="1" applyBorder="1" applyAlignment="1">
      <alignment horizontal="center"/>
    </xf>
    <xf numFmtId="0" fontId="22" fillId="0" borderId="0" xfId="6" applyFont="1" applyAlignment="1">
      <alignment horizontal="center"/>
    </xf>
    <xf numFmtId="0" fontId="13" fillId="3" borderId="29" xfId="6" applyFont="1" applyFill="1" applyBorder="1" applyAlignment="1">
      <alignment horizontal="center"/>
    </xf>
    <xf numFmtId="0" fontId="13" fillId="3" borderId="23" xfId="6" applyFont="1" applyFill="1" applyBorder="1" applyAlignment="1">
      <alignment horizontal="center"/>
    </xf>
    <xf numFmtId="0" fontId="13" fillId="3" borderId="22" xfId="6" applyFont="1" applyFill="1" applyBorder="1" applyAlignment="1">
      <alignment horizontal="center"/>
    </xf>
    <xf numFmtId="0" fontId="13" fillId="3" borderId="19" xfId="6" applyFont="1" applyFill="1" applyBorder="1" applyAlignment="1">
      <alignment horizontal="center"/>
    </xf>
    <xf numFmtId="0" fontId="13" fillId="3" borderId="17" xfId="6" applyFont="1" applyFill="1" applyBorder="1" applyAlignment="1">
      <alignment horizontal="center"/>
    </xf>
    <xf numFmtId="0" fontId="39" fillId="0" borderId="1" xfId="0" applyFont="1" applyBorder="1" applyAlignment="1">
      <alignment horizontal="left" wrapText="1"/>
    </xf>
    <xf numFmtId="0" fontId="39" fillId="0" borderId="21" xfId="0" applyFont="1" applyBorder="1" applyAlignment="1">
      <alignment horizontal="left" wrapText="1"/>
    </xf>
    <xf numFmtId="44" fontId="18" fillId="0" borderId="0" xfId="4" applyFont="1" applyAlignment="1">
      <alignment horizontal="center"/>
    </xf>
    <xf numFmtId="0" fontId="14" fillId="0" borderId="1" xfId="6" applyFont="1" applyBorder="1" applyAlignment="1">
      <alignment horizontal="left" wrapText="1"/>
    </xf>
    <xf numFmtId="0" fontId="14" fillId="0" borderId="21" xfId="6" applyFont="1" applyBorder="1" applyAlignment="1">
      <alignment horizontal="left" wrapText="1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13" fillId="3" borderId="32" xfId="6" applyFont="1" applyFill="1" applyBorder="1" applyAlignment="1">
      <alignment horizontal="center"/>
    </xf>
    <xf numFmtId="0" fontId="13" fillId="3" borderId="12" xfId="6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3" xfId="6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21" fillId="0" borderId="0" xfId="6" applyFont="1" applyFill="1" applyAlignment="1">
      <alignment horizontal="center"/>
    </xf>
    <xf numFmtId="0" fontId="18" fillId="0" borderId="0" xfId="6" applyFont="1" applyFill="1" applyAlignment="1">
      <alignment horizontal="center"/>
    </xf>
    <xf numFmtId="0" fontId="18" fillId="0" borderId="0" xfId="6" applyFont="1" applyBorder="1" applyAlignment="1">
      <alignment horizontal="center"/>
    </xf>
    <xf numFmtId="0" fontId="22" fillId="0" borderId="0" xfId="6" applyFont="1" applyBorder="1" applyAlignment="1">
      <alignment horizontal="center"/>
    </xf>
    <xf numFmtId="0" fontId="13" fillId="3" borderId="21" xfId="6" applyFont="1" applyFill="1" applyBorder="1" applyAlignment="1">
      <alignment horizontal="center"/>
    </xf>
    <xf numFmtId="0" fontId="13" fillId="3" borderId="20" xfId="6" applyFont="1" applyFill="1" applyBorder="1" applyAlignment="1">
      <alignment horizontal="center"/>
    </xf>
    <xf numFmtId="0" fontId="17" fillId="0" borderId="0" xfId="6" applyFont="1" applyAlignment="1">
      <alignment horizontal="left"/>
    </xf>
    <xf numFmtId="0" fontId="18" fillId="0" borderId="0" xfId="6" applyFont="1" applyAlignment="1">
      <alignment horizontal="center"/>
    </xf>
    <xf numFmtId="0" fontId="13" fillId="3" borderId="19" xfId="6" applyFont="1" applyFill="1" applyBorder="1" applyAlignment="1">
      <alignment horizontal="center" wrapText="1"/>
    </xf>
    <xf numFmtId="0" fontId="13" fillId="3" borderId="12" xfId="6" applyFont="1" applyFill="1" applyBorder="1" applyAlignment="1">
      <alignment horizontal="center" wrapText="1"/>
    </xf>
    <xf numFmtId="0" fontId="13" fillId="3" borderId="17" xfId="6" applyFont="1" applyFill="1" applyBorder="1" applyAlignment="1">
      <alignment horizontal="center" wrapText="1"/>
    </xf>
    <xf numFmtId="0" fontId="13" fillId="3" borderId="29" xfId="6" applyFont="1" applyFill="1" applyBorder="1" applyAlignment="1">
      <alignment horizontal="center" wrapText="1"/>
    </xf>
    <xf numFmtId="0" fontId="13" fillId="3" borderId="1" xfId="6" applyFont="1" applyFill="1" applyBorder="1" applyAlignment="1">
      <alignment horizontal="center" wrapText="1"/>
    </xf>
    <xf numFmtId="0" fontId="13" fillId="3" borderId="28" xfId="6" applyFont="1" applyFill="1" applyBorder="1" applyAlignment="1">
      <alignment horizontal="center" wrapText="1"/>
    </xf>
    <xf numFmtId="0" fontId="13" fillId="3" borderId="19" xfId="6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3" fillId="3" borderId="20" xfId="6" applyFont="1" applyFill="1" applyBorder="1" applyAlignment="1">
      <alignment horizontal="center" vertical="center"/>
    </xf>
    <xf numFmtId="0" fontId="13" fillId="3" borderId="33" xfId="6" applyFont="1" applyFill="1" applyBorder="1" applyAlignment="1">
      <alignment horizontal="center" vertical="center"/>
    </xf>
    <xf numFmtId="0" fontId="13" fillId="3" borderId="36" xfId="6" applyFont="1" applyFill="1" applyBorder="1" applyAlignment="1">
      <alignment horizontal="center" vertical="center"/>
    </xf>
    <xf numFmtId="0" fontId="13" fillId="0" borderId="18" xfId="6" applyFont="1" applyBorder="1" applyAlignment="1">
      <alignment horizontal="center"/>
    </xf>
    <xf numFmtId="0" fontId="13" fillId="3" borderId="12" xfId="6" applyFont="1" applyFill="1" applyBorder="1" applyAlignment="1">
      <alignment horizontal="center" vertical="center" wrapText="1"/>
    </xf>
    <xf numFmtId="0" fontId="13" fillId="3" borderId="17" xfId="6" applyFont="1" applyFill="1" applyBorder="1" applyAlignment="1">
      <alignment horizontal="center" vertical="center" wrapText="1"/>
    </xf>
    <xf numFmtId="0" fontId="22" fillId="2" borderId="0" xfId="6" applyFont="1" applyFill="1" applyAlignment="1">
      <alignment horizontal="center"/>
    </xf>
    <xf numFmtId="0" fontId="13" fillId="3" borderId="12" xfId="6" applyFont="1" applyFill="1" applyBorder="1" applyAlignment="1">
      <alignment wrapText="1"/>
    </xf>
    <xf numFmtId="0" fontId="13" fillId="3" borderId="17" xfId="6" applyFont="1" applyFill="1" applyBorder="1" applyAlignment="1">
      <alignment wrapText="1"/>
    </xf>
    <xf numFmtId="0" fontId="13" fillId="3" borderId="29" xfId="6" applyFont="1" applyFill="1" applyBorder="1" applyAlignment="1">
      <alignment horizontal="center" vertical="center"/>
    </xf>
    <xf numFmtId="0" fontId="13" fillId="3" borderId="39" xfId="6" applyFont="1" applyFill="1" applyBorder="1" applyAlignment="1">
      <alignment horizontal="center" vertical="center"/>
    </xf>
    <xf numFmtId="0" fontId="13" fillId="3" borderId="23" xfId="6" applyFont="1" applyFill="1" applyBorder="1" applyAlignment="1">
      <alignment horizontal="center" vertical="center"/>
    </xf>
    <xf numFmtId="0" fontId="13" fillId="3" borderId="28" xfId="6" applyFont="1" applyFill="1" applyBorder="1" applyAlignment="1">
      <alignment horizontal="center" vertical="center"/>
    </xf>
    <xf numFmtId="0" fontId="13" fillId="3" borderId="18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</cellXfs>
  <cellStyles count="10">
    <cellStyle name="Comma" xfId="1" builtinId="3"/>
    <cellStyle name="Comma 2" xfId="2"/>
    <cellStyle name="Comma 2 2" xfId="3"/>
    <cellStyle name="Comma 5" xfId="9"/>
    <cellStyle name="Currency" xfId="4" builtinId="4"/>
    <cellStyle name="Normal" xfId="0" builtinId="0"/>
    <cellStyle name="Normal 2" xfId="8"/>
    <cellStyle name="Normal_ARR &amp; ERC FORMS (10052007) - MYT 2007-2010- revised 8 ( with new tariff)" xfId="5"/>
    <cellStyle name="Normal_Tariff Commision Report - 05-05-05" xfId="6"/>
    <cellStyle name="Normal_Tariff Commission Report-2005-06- Audited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3867150</xdr:colOff>
      <xdr:row>0</xdr:row>
      <xdr:rowOff>57150</xdr:rowOff>
    </xdr:from>
    <xdr:ext cx="1937066" cy="6032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57150"/>
          <a:ext cx="1937066" cy="603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1504950</xdr:colOff>
      <xdr:row>28</xdr:row>
      <xdr:rowOff>19050</xdr:rowOff>
    </xdr:from>
    <xdr:to>
      <xdr:col>1</xdr:col>
      <xdr:colOff>1828800</xdr:colOff>
      <xdr:row>39</xdr:row>
      <xdr:rowOff>104775</xdr:rowOff>
    </xdr:to>
    <xdr:sp macro="" textlink="">
      <xdr:nvSpPr>
        <xdr:cNvPr id="3073" name="AutoShape 1"/>
        <xdr:cNvSpPr>
          <a:spLocks/>
        </xdr:cNvSpPr>
      </xdr:nvSpPr>
      <xdr:spPr bwMode="auto">
        <a:xfrm>
          <a:off x="1809750" y="5838825"/>
          <a:ext cx="323850" cy="2390775"/>
        </a:xfrm>
        <a:prstGeom prst="rightBrace">
          <a:avLst>
            <a:gd name="adj1" fmla="val 6152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3-14/Accounts%2013-14/TECHNO%20POWER%202013-14%20Revised%20on%204-12-2015%20-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2-13/ARR%20ERC/ARRERC-12-13-Audi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2-13/Accounts%20-%20Final/Final%20Accounts%20-%20PY%202012-13%20-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3-14/Tabulation13-14(new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3-14/Power%20Sheet%2013-14-Phase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Accounts/Power%20Final%20Acts%2013-14/Tabulation13-14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cnesheet P&amp;L"/>
      <sheetName val="Schedules"/>
      <sheetName val="FA"/>
      <sheetName val="TB"/>
    </sheetNames>
    <sheetDataSet>
      <sheetData sheetId="0">
        <row r="10">
          <cell r="D10">
            <v>57235319.219999999</v>
          </cell>
        </row>
        <row r="13">
          <cell r="D13">
            <v>-110841430.72000001</v>
          </cell>
        </row>
        <row r="14">
          <cell r="D14">
            <v>19909053</v>
          </cell>
        </row>
        <row r="16">
          <cell r="D16">
            <v>3859318.18</v>
          </cell>
          <cell r="E16">
            <v>-1350575.8199999998</v>
          </cell>
        </row>
        <row r="17">
          <cell r="D17">
            <v>20710137</v>
          </cell>
          <cell r="E17">
            <v>-2154240</v>
          </cell>
        </row>
        <row r="18">
          <cell r="D18">
            <v>106956093</v>
          </cell>
        </row>
        <row r="19">
          <cell r="D19">
            <v>316388000</v>
          </cell>
        </row>
        <row r="21">
          <cell r="D21">
            <v>383713327.88999999</v>
          </cell>
        </row>
        <row r="28">
          <cell r="D28">
            <v>16877225</v>
          </cell>
        </row>
        <row r="30">
          <cell r="D30">
            <v>12813783.100000001</v>
          </cell>
        </row>
        <row r="31">
          <cell r="D31">
            <v>11744697.630000001</v>
          </cell>
        </row>
        <row r="32">
          <cell r="D32">
            <v>37275123.299999997</v>
          </cell>
        </row>
        <row r="33">
          <cell r="D33">
            <v>18864665</v>
          </cell>
        </row>
        <row r="34">
          <cell r="D34">
            <v>227482877</v>
          </cell>
        </row>
        <row r="39">
          <cell r="B39">
            <v>17856</v>
          </cell>
        </row>
        <row r="40">
          <cell r="B40">
            <v>34156</v>
          </cell>
        </row>
        <row r="41">
          <cell r="B41">
            <v>30000</v>
          </cell>
        </row>
        <row r="42">
          <cell r="B42">
            <v>10000</v>
          </cell>
        </row>
        <row r="43">
          <cell r="B43">
            <v>1619883</v>
          </cell>
        </row>
        <row r="44">
          <cell r="B44">
            <v>12289</v>
          </cell>
        </row>
        <row r="45">
          <cell r="B45">
            <v>77755202</v>
          </cell>
        </row>
        <row r="82">
          <cell r="D82">
            <v>6566980.6399999997</v>
          </cell>
        </row>
        <row r="83">
          <cell r="D83">
            <v>900841.8</v>
          </cell>
        </row>
        <row r="84">
          <cell r="D84">
            <v>1062462</v>
          </cell>
        </row>
        <row r="85">
          <cell r="D85">
            <v>56027</v>
          </cell>
        </row>
        <row r="86">
          <cell r="D86">
            <v>834598</v>
          </cell>
        </row>
        <row r="87">
          <cell r="D87">
            <v>3474280</v>
          </cell>
        </row>
        <row r="89">
          <cell r="D89">
            <v>728117</v>
          </cell>
        </row>
        <row r="95">
          <cell r="D95">
            <v>1500074</v>
          </cell>
        </row>
        <row r="96">
          <cell r="D96">
            <v>2125320</v>
          </cell>
        </row>
        <row r="97">
          <cell r="D97">
            <v>10000</v>
          </cell>
        </row>
        <row r="98">
          <cell r="D98">
            <v>525328</v>
          </cell>
        </row>
        <row r="99">
          <cell r="D99">
            <v>1819618.18</v>
          </cell>
        </row>
        <row r="100">
          <cell r="D100">
            <v>532427</v>
          </cell>
        </row>
        <row r="101">
          <cell r="D101">
            <v>146688</v>
          </cell>
        </row>
        <row r="102">
          <cell r="D102">
            <v>4043272</v>
          </cell>
        </row>
        <row r="104">
          <cell r="D104">
            <v>105885</v>
          </cell>
        </row>
        <row r="105">
          <cell r="D105">
            <v>4333177</v>
          </cell>
        </row>
        <row r="106">
          <cell r="D106">
            <v>727689</v>
          </cell>
        </row>
        <row r="107">
          <cell r="D107">
            <v>52299</v>
          </cell>
        </row>
        <row r="108">
          <cell r="D108">
            <v>13989350</v>
          </cell>
        </row>
        <row r="109">
          <cell r="D109">
            <v>196248</v>
          </cell>
        </row>
        <row r="110">
          <cell r="D110">
            <v>56180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orm B"/>
      <sheetName val="Form C"/>
      <sheetName val="Form C (2)"/>
      <sheetName val="Form D"/>
      <sheetName val="Form E"/>
      <sheetName val="Calcu-ROI"/>
      <sheetName val="Form F"/>
      <sheetName val="Form G"/>
      <sheetName val="Form H"/>
      <sheetName val="Form I"/>
      <sheetName val="Form J"/>
      <sheetName val="Form K"/>
      <sheetName val="Form L"/>
      <sheetName val="Form M"/>
      <sheetName val="Form N"/>
      <sheetName val="Form O"/>
      <sheetName val="Form P"/>
      <sheetName val="Form Q"/>
      <sheetName val="Form R"/>
      <sheetName val="Form S"/>
      <sheetName val="Form T"/>
      <sheetName val="Form U"/>
      <sheetName val="Form V"/>
      <sheetName val="Form W"/>
      <sheetName val="Form W1"/>
      <sheetName val="Form X"/>
      <sheetName val="Form Y"/>
      <sheetName val="Form Z"/>
      <sheetName val="Sheet1"/>
    </sheetNames>
    <sheetDataSet>
      <sheetData sheetId="0"/>
      <sheetData sheetId="1"/>
      <sheetData sheetId="2"/>
      <sheetData sheetId="3">
        <row r="23">
          <cell r="C23">
            <v>16231286.119999999</v>
          </cell>
        </row>
        <row r="25">
          <cell r="C25">
            <v>291402961.30000001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cnesheet P&amp;L"/>
      <sheetName val="Schedules"/>
      <sheetName val="FA"/>
      <sheetName val="TB"/>
    </sheetNames>
    <sheetDataSet>
      <sheetData sheetId="0">
        <row r="30">
          <cell r="D30">
            <v>24646771.629999999</v>
          </cell>
        </row>
        <row r="39">
          <cell r="B39">
            <v>17856</v>
          </cell>
        </row>
        <row r="40">
          <cell r="B40">
            <v>34156</v>
          </cell>
        </row>
        <row r="41">
          <cell r="B41">
            <v>30000</v>
          </cell>
        </row>
        <row r="42">
          <cell r="B42">
            <v>213484</v>
          </cell>
        </row>
        <row r="43">
          <cell r="B43">
            <v>942707</v>
          </cell>
        </row>
        <row r="44">
          <cell r="B44">
            <v>40223</v>
          </cell>
        </row>
        <row r="45">
          <cell r="B45">
            <v>12887100</v>
          </cell>
        </row>
        <row r="46">
          <cell r="B46">
            <v>12289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"/>
      <sheetName val="Expenses %"/>
      <sheetName val="Street Lgiht&amp;Self"/>
      <sheetName val="Purchase&amp;Sales - Phase I"/>
      <sheetName val="Purchase&amp;Sales - Phase II&amp;III"/>
      <sheetName val="Sheet1"/>
      <sheetName val="Sheet2"/>
      <sheetName val="13-14 (Phase I)"/>
      <sheetName val="13-14 Phase II"/>
      <sheetName val="13-14 Kollam"/>
      <sheetName val="Loss %"/>
      <sheetName val="Duty payments"/>
    </sheetNames>
    <sheetDataSet>
      <sheetData sheetId="0"/>
      <sheetData sheetId="1"/>
      <sheetData sheetId="2">
        <row r="16">
          <cell r="D16">
            <v>863734.4</v>
          </cell>
          <cell r="K16">
            <v>23442</v>
          </cell>
        </row>
        <row r="32">
          <cell r="D32">
            <v>174518</v>
          </cell>
        </row>
      </sheetData>
      <sheetData sheetId="3">
        <row r="17">
          <cell r="D17">
            <v>16370666</v>
          </cell>
        </row>
        <row r="36">
          <cell r="C36">
            <v>1863221.8572</v>
          </cell>
          <cell r="E36">
            <v>403011.82350000006</v>
          </cell>
        </row>
        <row r="37">
          <cell r="C37">
            <v>20840682.264672495</v>
          </cell>
        </row>
      </sheetData>
      <sheetData sheetId="4">
        <row r="17">
          <cell r="D17">
            <v>3694240</v>
          </cell>
        </row>
        <row r="36">
          <cell r="C36">
            <v>303629.04000000004</v>
          </cell>
          <cell r="E36">
            <v>75907</v>
          </cell>
        </row>
        <row r="37">
          <cell r="C37">
            <v>165849.37945574999</v>
          </cell>
        </row>
      </sheetData>
      <sheetData sheetId="5">
        <row r="33">
          <cell r="B33">
            <v>134420449</v>
          </cell>
          <cell r="C33">
            <v>273870593.13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'13"/>
      <sheetName val="May'13"/>
      <sheetName val="Jun13"/>
      <sheetName val="Jul'13"/>
      <sheetName val="Aug'13"/>
      <sheetName val="Sep'13"/>
      <sheetName val="Oct'13"/>
      <sheetName val="Nov'13"/>
      <sheetName val="Dec'13"/>
      <sheetName val="Jan'14"/>
      <sheetName val="Feb'14"/>
      <sheetName val="Mar'14"/>
      <sheetName val="Sheet1"/>
      <sheetName val="Sheet2"/>
    </sheetNames>
    <sheetDataSet>
      <sheetData sheetId="0">
        <row r="32">
          <cell r="AJ32">
            <v>1230966.2999999998</v>
          </cell>
        </row>
        <row r="605">
          <cell r="AJ605">
            <v>137674.49999999971</v>
          </cell>
        </row>
        <row r="606">
          <cell r="M606">
            <v>406970.1999999999</v>
          </cell>
        </row>
      </sheetData>
      <sheetData sheetId="1">
        <row r="32">
          <cell r="AD32">
            <v>1399421</v>
          </cell>
        </row>
      </sheetData>
      <sheetData sheetId="2">
        <row r="71">
          <cell r="M71">
            <v>1214241.216</v>
          </cell>
        </row>
      </sheetData>
      <sheetData sheetId="3">
        <row r="71">
          <cell r="M71">
            <v>1461325.8119999999</v>
          </cell>
        </row>
      </sheetData>
      <sheetData sheetId="4">
        <row r="71">
          <cell r="M71">
            <v>1175336.9879999999</v>
          </cell>
        </row>
      </sheetData>
      <sheetData sheetId="5">
        <row r="70">
          <cell r="M70">
            <v>1301894.1000000001</v>
          </cell>
        </row>
      </sheetData>
      <sheetData sheetId="6">
        <row r="72">
          <cell r="M72">
            <v>1426355.3160000001</v>
          </cell>
        </row>
      </sheetData>
      <sheetData sheetId="7">
        <row r="71">
          <cell r="M71">
            <v>1398924.66</v>
          </cell>
        </row>
      </sheetData>
      <sheetData sheetId="8">
        <row r="70">
          <cell r="M70">
            <v>1355705.22</v>
          </cell>
        </row>
      </sheetData>
      <sheetData sheetId="9">
        <row r="66">
          <cell r="M66">
            <v>1372838.16</v>
          </cell>
        </row>
      </sheetData>
      <sheetData sheetId="10">
        <row r="74">
          <cell r="M74">
            <v>1266342.4079999998</v>
          </cell>
        </row>
      </sheetData>
      <sheetData sheetId="11">
        <row r="72">
          <cell r="M72">
            <v>1412346.0239999997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"/>
      <sheetName val="Expenses %"/>
      <sheetName val="Street Lgiht&amp;Self"/>
      <sheetName val="Purchase&amp;Sales - Phase I"/>
      <sheetName val="Purchase&amp;Sales - Phase II&amp;III"/>
      <sheetName val="Sheet1"/>
      <sheetName val="Sheet2"/>
      <sheetName val="13-14 (Phase I)"/>
      <sheetName val="13-14 Phase II"/>
      <sheetName val="13-14 Kollam"/>
      <sheetName val="Loss %"/>
      <sheetName val="Duty payments"/>
    </sheetNames>
    <sheetDataSet>
      <sheetData sheetId="0"/>
      <sheetData sheetId="1"/>
      <sheetData sheetId="2"/>
      <sheetData sheetId="3">
        <row r="17">
          <cell r="M17">
            <v>39916917.489999995</v>
          </cell>
        </row>
      </sheetData>
      <sheetData sheetId="4">
        <row r="17">
          <cell r="M17">
            <v>259049.73350000003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topLeftCell="A43" zoomScaleNormal="100" workbookViewId="0">
      <selection sqref="A1:C50"/>
    </sheetView>
  </sheetViews>
  <sheetFormatPr defaultColWidth="8" defaultRowHeight="16.5" x14ac:dyDescent="0.3"/>
  <cols>
    <col min="1" max="1" width="8" style="20" customWidth="1"/>
    <col min="2" max="2" width="60.375" style="23" customWidth="1"/>
    <col min="3" max="3" width="16.125" style="20" customWidth="1"/>
    <col min="4" max="16384" width="8" style="23"/>
  </cols>
  <sheetData>
    <row r="1" spans="1:4" x14ac:dyDescent="0.3">
      <c r="B1" s="21" t="s">
        <v>431</v>
      </c>
      <c r="C1" s="21"/>
      <c r="D1" s="22"/>
    </row>
    <row r="2" spans="1:4" x14ac:dyDescent="0.3">
      <c r="A2" s="24"/>
      <c r="B2" s="21"/>
      <c r="C2" s="21"/>
      <c r="D2" s="22"/>
    </row>
    <row r="3" spans="1:4" x14ac:dyDescent="0.3">
      <c r="A3" s="24"/>
      <c r="B3" s="21"/>
      <c r="C3" s="21"/>
      <c r="D3" s="22"/>
    </row>
    <row r="4" spans="1:4" x14ac:dyDescent="0.3">
      <c r="A4" s="24"/>
      <c r="B4" s="21"/>
      <c r="C4" s="21"/>
      <c r="D4" s="22"/>
    </row>
    <row r="5" spans="1:4" ht="17.25" thickBot="1" x14ac:dyDescent="0.35">
      <c r="A5" s="505" t="s">
        <v>680</v>
      </c>
      <c r="B5" s="505"/>
      <c r="C5" s="505"/>
      <c r="D5" s="22"/>
    </row>
    <row r="6" spans="1:4" ht="17.25" thickBot="1" x14ac:dyDescent="0.35">
      <c r="A6" s="26" t="s">
        <v>285</v>
      </c>
      <c r="B6" s="26" t="s">
        <v>432</v>
      </c>
      <c r="C6" s="27" t="s">
        <v>433</v>
      </c>
    </row>
    <row r="7" spans="1:4" x14ac:dyDescent="0.3">
      <c r="A7" s="28"/>
      <c r="B7" s="355"/>
      <c r="C7" s="29"/>
    </row>
    <row r="8" spans="1:4" x14ac:dyDescent="0.3">
      <c r="A8" s="28">
        <v>1</v>
      </c>
      <c r="B8" s="356" t="s">
        <v>434</v>
      </c>
      <c r="C8" s="29" t="s">
        <v>435</v>
      </c>
    </row>
    <row r="9" spans="1:4" x14ac:dyDescent="0.3">
      <c r="A9" s="28">
        <v>2</v>
      </c>
      <c r="B9" s="356" t="s">
        <v>436</v>
      </c>
      <c r="C9" s="29" t="s">
        <v>437</v>
      </c>
    </row>
    <row r="10" spans="1:4" x14ac:dyDescent="0.3">
      <c r="A10" s="28">
        <v>3</v>
      </c>
      <c r="B10" s="356" t="s">
        <v>438</v>
      </c>
      <c r="C10" s="29" t="s">
        <v>439</v>
      </c>
    </row>
    <row r="11" spans="1:4" x14ac:dyDescent="0.3">
      <c r="A11" s="28">
        <v>4</v>
      </c>
      <c r="B11" s="356" t="s">
        <v>440</v>
      </c>
      <c r="C11" s="29" t="s">
        <v>441</v>
      </c>
    </row>
    <row r="12" spans="1:4" x14ac:dyDescent="0.3">
      <c r="A12" s="28">
        <v>5</v>
      </c>
      <c r="B12" s="356" t="s">
        <v>442</v>
      </c>
      <c r="C12" s="29" t="s">
        <v>443</v>
      </c>
    </row>
    <row r="13" spans="1:4" x14ac:dyDescent="0.3">
      <c r="A13" s="28">
        <v>6</v>
      </c>
      <c r="B13" s="356" t="s">
        <v>444</v>
      </c>
      <c r="C13" s="29" t="s">
        <v>445</v>
      </c>
    </row>
    <row r="14" spans="1:4" x14ac:dyDescent="0.3">
      <c r="A14" s="28">
        <v>7</v>
      </c>
      <c r="B14" s="356" t="s">
        <v>446</v>
      </c>
      <c r="C14" s="29" t="s">
        <v>447</v>
      </c>
    </row>
    <row r="15" spans="1:4" x14ac:dyDescent="0.3">
      <c r="A15" s="28">
        <v>8</v>
      </c>
      <c r="B15" s="356" t="s">
        <v>448</v>
      </c>
      <c r="C15" s="29" t="s">
        <v>449</v>
      </c>
    </row>
    <row r="16" spans="1:4" x14ac:dyDescent="0.3">
      <c r="A16" s="28">
        <v>9</v>
      </c>
      <c r="B16" s="356" t="s">
        <v>450</v>
      </c>
      <c r="C16" s="29" t="s">
        <v>55</v>
      </c>
    </row>
    <row r="17" spans="1:3" x14ac:dyDescent="0.3">
      <c r="A17" s="28">
        <v>10</v>
      </c>
      <c r="B17" s="356" t="s">
        <v>451</v>
      </c>
      <c r="C17" s="29" t="s">
        <v>452</v>
      </c>
    </row>
    <row r="18" spans="1:3" x14ac:dyDescent="0.3">
      <c r="A18" s="28">
        <v>11</v>
      </c>
      <c r="B18" s="356" t="s">
        <v>453</v>
      </c>
      <c r="C18" s="29" t="s">
        <v>454</v>
      </c>
    </row>
    <row r="19" spans="1:3" x14ac:dyDescent="0.3">
      <c r="A19" s="28">
        <v>12</v>
      </c>
      <c r="B19" s="356" t="s">
        <v>455</v>
      </c>
      <c r="C19" s="29" t="s">
        <v>456</v>
      </c>
    </row>
    <row r="20" spans="1:3" x14ac:dyDescent="0.3">
      <c r="A20" s="28">
        <v>13</v>
      </c>
      <c r="B20" s="356" t="s">
        <v>457</v>
      </c>
      <c r="C20" s="29" t="s">
        <v>458</v>
      </c>
    </row>
    <row r="21" spans="1:3" x14ac:dyDescent="0.3">
      <c r="A21" s="28">
        <v>14</v>
      </c>
      <c r="B21" s="356" t="s">
        <v>136</v>
      </c>
      <c r="C21" s="29" t="s">
        <v>459</v>
      </c>
    </row>
    <row r="22" spans="1:3" x14ac:dyDescent="0.3">
      <c r="A22" s="28">
        <v>15</v>
      </c>
      <c r="B22" s="356" t="s">
        <v>460</v>
      </c>
      <c r="C22" s="29" t="s">
        <v>461</v>
      </c>
    </row>
    <row r="23" spans="1:3" x14ac:dyDescent="0.3">
      <c r="A23" s="28">
        <v>16</v>
      </c>
      <c r="B23" s="356" t="s">
        <v>462</v>
      </c>
      <c r="C23" s="29" t="s">
        <v>463</v>
      </c>
    </row>
    <row r="24" spans="1:3" x14ac:dyDescent="0.3">
      <c r="A24" s="28">
        <v>17</v>
      </c>
      <c r="B24" s="356" t="s">
        <v>464</v>
      </c>
      <c r="C24" s="29" t="s">
        <v>465</v>
      </c>
    </row>
    <row r="25" spans="1:3" x14ac:dyDescent="0.3">
      <c r="A25" s="28">
        <v>18</v>
      </c>
      <c r="B25" s="356" t="s">
        <v>466</v>
      </c>
      <c r="C25" s="29" t="s">
        <v>467</v>
      </c>
    </row>
    <row r="26" spans="1:3" x14ac:dyDescent="0.3">
      <c r="A26" s="28">
        <v>19</v>
      </c>
      <c r="B26" s="356" t="s">
        <v>468</v>
      </c>
      <c r="C26" s="29" t="s">
        <v>469</v>
      </c>
    </row>
    <row r="27" spans="1:3" x14ac:dyDescent="0.3">
      <c r="A27" s="28">
        <v>20</v>
      </c>
      <c r="B27" s="356" t="s">
        <v>470</v>
      </c>
      <c r="C27" s="29" t="s">
        <v>471</v>
      </c>
    </row>
    <row r="28" spans="1:3" x14ac:dyDescent="0.3">
      <c r="A28" s="28">
        <v>21</v>
      </c>
      <c r="B28" s="356" t="s">
        <v>472</v>
      </c>
      <c r="C28" s="29" t="s">
        <v>157</v>
      </c>
    </row>
    <row r="29" spans="1:3" x14ac:dyDescent="0.3">
      <c r="A29" s="28">
        <v>22</v>
      </c>
      <c r="B29" s="356" t="s">
        <v>473</v>
      </c>
      <c r="C29" s="29" t="s">
        <v>235</v>
      </c>
    </row>
    <row r="30" spans="1:3" x14ac:dyDescent="0.3">
      <c r="A30" s="28">
        <v>23</v>
      </c>
      <c r="B30" s="356" t="s">
        <v>474</v>
      </c>
      <c r="C30" s="29" t="s">
        <v>475</v>
      </c>
    </row>
    <row r="31" spans="1:3" x14ac:dyDescent="0.3">
      <c r="A31" s="28">
        <v>24</v>
      </c>
      <c r="B31" s="356" t="s">
        <v>476</v>
      </c>
      <c r="C31" s="29" t="s">
        <v>169</v>
      </c>
    </row>
    <row r="32" spans="1:3" x14ac:dyDescent="0.3">
      <c r="A32" s="28">
        <v>25</v>
      </c>
      <c r="B32" s="356" t="s">
        <v>477</v>
      </c>
      <c r="C32" s="29" t="s">
        <v>188</v>
      </c>
    </row>
    <row r="33" spans="1:5" ht="33" x14ac:dyDescent="0.3">
      <c r="A33" s="28">
        <v>26</v>
      </c>
      <c r="B33" s="357" t="s">
        <v>478</v>
      </c>
      <c r="C33" s="29" t="s">
        <v>479</v>
      </c>
    </row>
    <row r="34" spans="1:5" ht="17.25" thickBot="1" x14ac:dyDescent="0.35">
      <c r="A34" s="30"/>
      <c r="B34" s="358"/>
      <c r="C34" s="31"/>
    </row>
    <row r="35" spans="1:5" x14ac:dyDescent="0.3">
      <c r="A35" s="21"/>
      <c r="B35" s="25"/>
      <c r="C35" s="21"/>
    </row>
    <row r="36" spans="1:5" x14ac:dyDescent="0.3">
      <c r="A36" s="21"/>
      <c r="B36" s="25"/>
      <c r="C36" s="21"/>
    </row>
    <row r="37" spans="1:5" x14ac:dyDescent="0.3">
      <c r="A37" s="21"/>
      <c r="B37" s="25"/>
      <c r="C37" s="21"/>
    </row>
    <row r="38" spans="1:5" x14ac:dyDescent="0.3">
      <c r="A38" s="21"/>
      <c r="B38" s="25"/>
      <c r="C38" s="21"/>
    </row>
    <row r="39" spans="1:5" x14ac:dyDescent="0.3">
      <c r="A39" s="350" t="s">
        <v>678</v>
      </c>
      <c r="B39" s="22"/>
      <c r="C39" s="351" t="s">
        <v>606</v>
      </c>
      <c r="D39" s="32"/>
      <c r="E39" s="33"/>
    </row>
    <row r="40" spans="1:5" x14ac:dyDescent="0.3">
      <c r="A40" s="114" t="s">
        <v>679</v>
      </c>
      <c r="B40" s="22"/>
      <c r="C40" s="352" t="s">
        <v>604</v>
      </c>
      <c r="D40" s="34"/>
      <c r="E40" s="35"/>
    </row>
    <row r="41" spans="1:5" x14ac:dyDescent="0.3">
      <c r="A41" s="34"/>
      <c r="B41" s="34"/>
      <c r="C41" s="34"/>
      <c r="D41" s="34"/>
      <c r="E41" s="35"/>
    </row>
    <row r="42" spans="1:5" x14ac:dyDescent="0.3">
      <c r="A42" s="34"/>
      <c r="B42" s="34"/>
      <c r="C42" s="34"/>
      <c r="D42" s="34"/>
      <c r="E42" s="35"/>
    </row>
    <row r="43" spans="1:5" x14ac:dyDescent="0.3">
      <c r="A43" s="34"/>
      <c r="B43" s="34"/>
      <c r="C43" s="34"/>
      <c r="D43" s="34"/>
      <c r="E43" s="35"/>
    </row>
    <row r="44" spans="1:5" x14ac:dyDescent="0.3">
      <c r="A44" s="34"/>
      <c r="B44" s="34"/>
      <c r="C44" s="34"/>
      <c r="D44" s="34"/>
      <c r="E44" s="35"/>
    </row>
    <row r="45" spans="1:5" x14ac:dyDescent="0.3">
      <c r="A45" s="350" t="s">
        <v>650</v>
      </c>
      <c r="B45" s="7"/>
      <c r="C45" s="449"/>
      <c r="D45"/>
    </row>
    <row r="46" spans="1:5" x14ac:dyDescent="0.3">
      <c r="A46" s="114" t="s">
        <v>480</v>
      </c>
      <c r="B46" s="7"/>
      <c r="C46" s="449" t="s">
        <v>605</v>
      </c>
      <c r="D46"/>
    </row>
    <row r="47" spans="1:5" x14ac:dyDescent="0.3">
      <c r="C47" s="450"/>
    </row>
    <row r="48" spans="1:5" x14ac:dyDescent="0.3">
      <c r="C48" s="449"/>
    </row>
    <row r="49" spans="1:3" x14ac:dyDescent="0.3">
      <c r="A49" s="34" t="s">
        <v>410</v>
      </c>
      <c r="C49" s="450"/>
    </row>
    <row r="50" spans="1:3" x14ac:dyDescent="0.3">
      <c r="A50" s="255" t="s">
        <v>677</v>
      </c>
      <c r="C50" s="450"/>
    </row>
  </sheetData>
  <mergeCells count="1">
    <mergeCell ref="A5:C5"/>
  </mergeCells>
  <phoneticPr fontId="4" type="noConversion"/>
  <pageMargins left="0.94" right="0.25" top="0.75" bottom="0.75" header="0.5" footer="0.5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3"/>
  <sheetViews>
    <sheetView view="pageBreakPreview" zoomScale="60" zoomScaleNormal="100" workbookViewId="0">
      <selection activeCell="A2" sqref="A2:D33"/>
    </sheetView>
  </sheetViews>
  <sheetFormatPr defaultRowHeight="16.5" x14ac:dyDescent="0.3"/>
  <cols>
    <col min="1" max="1" width="6.75" style="153" customWidth="1"/>
    <col min="2" max="2" width="29.5" style="153" customWidth="1"/>
    <col min="3" max="3" width="12.5" style="153" customWidth="1"/>
    <col min="4" max="4" width="13.875" style="153" customWidth="1"/>
    <col min="5" max="16384" width="9" style="153"/>
  </cols>
  <sheetData>
    <row r="2" spans="1:4" ht="18.75" x14ac:dyDescent="0.3">
      <c r="A2" s="542" t="s">
        <v>505</v>
      </c>
      <c r="B2" s="542"/>
      <c r="C2" s="542"/>
      <c r="D2" s="542"/>
    </row>
    <row r="3" spans="1:4" ht="18.75" x14ac:dyDescent="0.3">
      <c r="A3" s="185"/>
      <c r="B3" s="185"/>
      <c r="C3" s="185"/>
      <c r="D3" s="185"/>
    </row>
    <row r="4" spans="1:4" x14ac:dyDescent="0.3">
      <c r="A4" s="541" t="s">
        <v>506</v>
      </c>
      <c r="B4" s="541"/>
      <c r="C4" s="541"/>
      <c r="D4" s="541"/>
    </row>
    <row r="5" spans="1:4" x14ac:dyDescent="0.3">
      <c r="A5" s="37"/>
      <c r="B5" s="37"/>
      <c r="C5" s="37"/>
      <c r="D5" s="37"/>
    </row>
    <row r="6" spans="1:4" x14ac:dyDescent="0.3">
      <c r="A6" s="540" t="s">
        <v>252</v>
      </c>
      <c r="B6" s="540"/>
      <c r="C6" s="540"/>
      <c r="D6" s="540"/>
    </row>
    <row r="7" spans="1:4" x14ac:dyDescent="0.3">
      <c r="A7" s="543" t="s">
        <v>285</v>
      </c>
      <c r="B7" s="544" t="s">
        <v>286</v>
      </c>
      <c r="C7" s="391" t="s">
        <v>623</v>
      </c>
      <c r="D7" s="391" t="s">
        <v>623</v>
      </c>
    </row>
    <row r="8" spans="1:4" ht="30" x14ac:dyDescent="0.3">
      <c r="A8" s="543"/>
      <c r="B8" s="545"/>
      <c r="C8" s="395" t="s">
        <v>590</v>
      </c>
      <c r="D8" s="396" t="s">
        <v>592</v>
      </c>
    </row>
    <row r="9" spans="1:4" x14ac:dyDescent="0.3">
      <c r="A9" s="154"/>
      <c r="B9" s="183"/>
      <c r="C9" s="170"/>
      <c r="D9" s="170"/>
    </row>
    <row r="10" spans="1:4" x14ac:dyDescent="0.3">
      <c r="A10" s="154">
        <v>1</v>
      </c>
      <c r="B10" s="155" t="s">
        <v>507</v>
      </c>
      <c r="C10" s="156" t="s">
        <v>302</v>
      </c>
      <c r="D10" s="156" t="s">
        <v>302</v>
      </c>
    </row>
    <row r="11" spans="1:4" x14ac:dyDescent="0.3">
      <c r="A11" s="154">
        <v>2</v>
      </c>
      <c r="B11" s="155" t="s">
        <v>508</v>
      </c>
      <c r="C11" s="156" t="s">
        <v>302</v>
      </c>
      <c r="D11" s="156" t="s">
        <v>302</v>
      </c>
    </row>
    <row r="12" spans="1:4" x14ac:dyDescent="0.3">
      <c r="A12" s="154">
        <v>3</v>
      </c>
      <c r="B12" s="155" t="s">
        <v>509</v>
      </c>
      <c r="C12" s="156" t="s">
        <v>302</v>
      </c>
      <c r="D12" s="156" t="s">
        <v>302</v>
      </c>
    </row>
    <row r="13" spans="1:4" x14ac:dyDescent="0.3">
      <c r="A13" s="154">
        <v>4</v>
      </c>
      <c r="B13" s="155" t="s">
        <v>111</v>
      </c>
      <c r="C13" s="156" t="s">
        <v>302</v>
      </c>
      <c r="D13" s="156" t="s">
        <v>302</v>
      </c>
    </row>
    <row r="14" spans="1:4" x14ac:dyDescent="0.3">
      <c r="A14" s="154"/>
      <c r="B14" s="155"/>
      <c r="C14" s="156"/>
      <c r="D14" s="156"/>
    </row>
    <row r="15" spans="1:4" x14ac:dyDescent="0.3">
      <c r="A15" s="154"/>
      <c r="B15" s="184" t="s">
        <v>76</v>
      </c>
      <c r="C15" s="156" t="s">
        <v>302</v>
      </c>
      <c r="D15" s="156" t="s">
        <v>302</v>
      </c>
    </row>
    <row r="16" spans="1:4" x14ac:dyDescent="0.3">
      <c r="A16" s="154"/>
      <c r="B16" s="155"/>
      <c r="C16" s="156"/>
      <c r="D16" s="156"/>
    </row>
    <row r="17" spans="1:4" x14ac:dyDescent="0.3">
      <c r="A17" s="157"/>
      <c r="B17" s="158"/>
      <c r="C17" s="159"/>
      <c r="D17" s="159"/>
    </row>
    <row r="18" spans="1:4" x14ac:dyDescent="0.3">
      <c r="A18" s="35"/>
      <c r="B18" s="35"/>
      <c r="C18" s="35"/>
      <c r="D18" s="35"/>
    </row>
    <row r="19" spans="1:4" x14ac:dyDescent="0.3">
      <c r="A19" s="35"/>
      <c r="B19" s="35"/>
      <c r="C19" s="35"/>
      <c r="D19" s="35"/>
    </row>
    <row r="20" spans="1:4" x14ac:dyDescent="0.3">
      <c r="A20" s="35"/>
      <c r="B20" s="35"/>
      <c r="C20" s="35"/>
      <c r="D20" s="35"/>
    </row>
    <row r="21" spans="1:4" x14ac:dyDescent="0.3">
      <c r="A21" s="350" t="s">
        <v>678</v>
      </c>
      <c r="B21" s="34"/>
      <c r="C21" s="34"/>
      <c r="D21" s="351" t="s">
        <v>606</v>
      </c>
    </row>
    <row r="22" spans="1:4" x14ac:dyDescent="0.3">
      <c r="A22" s="114" t="s">
        <v>679</v>
      </c>
      <c r="B22" s="34"/>
      <c r="C22" s="34"/>
      <c r="D22" s="352" t="s">
        <v>604</v>
      </c>
    </row>
    <row r="23" spans="1:4" x14ac:dyDescent="0.3">
      <c r="A23" s="34"/>
      <c r="B23" s="34"/>
      <c r="C23" s="34"/>
      <c r="D23" s="34"/>
    </row>
    <row r="24" spans="1:4" x14ac:dyDescent="0.3">
      <c r="A24" s="34"/>
      <c r="B24" s="34"/>
      <c r="C24" s="34"/>
      <c r="D24" s="34"/>
    </row>
    <row r="25" spans="1:4" x14ac:dyDescent="0.3">
      <c r="A25" s="34"/>
      <c r="B25" s="34"/>
      <c r="C25" s="34"/>
    </row>
    <row r="26" spans="1:4" x14ac:dyDescent="0.3">
      <c r="A26" s="350" t="s">
        <v>650</v>
      </c>
      <c r="B26" s="7"/>
      <c r="C26" s="17"/>
      <c r="D26"/>
    </row>
    <row r="27" spans="1:4" x14ac:dyDescent="0.3">
      <c r="A27" s="114" t="s">
        <v>480</v>
      </c>
      <c r="B27" s="7"/>
      <c r="C27" s="17"/>
    </row>
    <row r="28" spans="1:4" x14ac:dyDescent="0.3">
      <c r="B28" s="33"/>
      <c r="C28" s="34"/>
      <c r="D28" s="449" t="s">
        <v>605</v>
      </c>
    </row>
    <row r="29" spans="1:4" x14ac:dyDescent="0.3">
      <c r="A29" s="34"/>
      <c r="B29" s="33"/>
      <c r="C29" s="36"/>
      <c r="D29" s="481"/>
    </row>
    <row r="30" spans="1:4" x14ac:dyDescent="0.3">
      <c r="A30" s="34"/>
      <c r="B30" s="34"/>
      <c r="C30" s="34"/>
      <c r="D30" s="480"/>
    </row>
    <row r="31" spans="1:4" x14ac:dyDescent="0.3">
      <c r="A31" s="34"/>
      <c r="B31" s="34"/>
      <c r="C31" s="34"/>
      <c r="D31" s="480"/>
    </row>
    <row r="32" spans="1:4" x14ac:dyDescent="0.3">
      <c r="A32" s="34" t="s">
        <v>410</v>
      </c>
      <c r="B32" s="34"/>
      <c r="C32" s="34"/>
      <c r="D32" s="450"/>
    </row>
    <row r="33" spans="1:4" x14ac:dyDescent="0.3">
      <c r="A33" s="255" t="s">
        <v>677</v>
      </c>
      <c r="B33" s="22"/>
      <c r="C33" s="22"/>
      <c r="D33" s="450"/>
    </row>
  </sheetData>
  <mergeCells count="5">
    <mergeCell ref="A6:D6"/>
    <mergeCell ref="A4:D4"/>
    <mergeCell ref="A2:D2"/>
    <mergeCell ref="A7:A8"/>
    <mergeCell ref="B7:B8"/>
  </mergeCells>
  <phoneticPr fontId="4" type="noConversion"/>
  <printOptions horizontalCentered="1" verticalCentered="1"/>
  <pageMargins left="0.3" right="0.26" top="1" bottom="1" header="0.5" footer="0.5"/>
  <pageSetup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view="pageBreakPreview" topLeftCell="A31" zoomScale="85" zoomScaleNormal="100" zoomScaleSheetLayoutView="85" workbookViewId="0">
      <selection sqref="A1:D55"/>
    </sheetView>
  </sheetViews>
  <sheetFormatPr defaultColWidth="8" defaultRowHeight="15.75" x14ac:dyDescent="0.25"/>
  <cols>
    <col min="1" max="1" width="7.625" style="162" customWidth="1"/>
    <col min="2" max="2" width="43.5" style="162" customWidth="1"/>
    <col min="3" max="3" width="12.625" style="162" bestFit="1" customWidth="1"/>
    <col min="4" max="4" width="12.75" style="162" customWidth="1"/>
    <col min="5" max="7" width="8" style="161"/>
    <col min="8" max="8" width="11.5" style="161" customWidth="1"/>
    <col min="9" max="16384" width="8" style="161"/>
  </cols>
  <sheetData>
    <row r="1" spans="1:4" ht="18.75" x14ac:dyDescent="0.3">
      <c r="A1" s="546" t="s">
        <v>510</v>
      </c>
      <c r="B1" s="546"/>
      <c r="C1" s="546"/>
      <c r="D1" s="546"/>
    </row>
    <row r="2" spans="1:4" ht="18.75" x14ac:dyDescent="0.3">
      <c r="A2" s="160"/>
      <c r="B2" s="160"/>
      <c r="C2" s="160"/>
      <c r="D2" s="160"/>
    </row>
    <row r="3" spans="1:4" ht="16.5" x14ac:dyDescent="0.3">
      <c r="A3" s="547" t="s">
        <v>511</v>
      </c>
      <c r="B3" s="547"/>
      <c r="C3" s="547"/>
      <c r="D3" s="547"/>
    </row>
    <row r="4" spans="1:4" ht="16.5" x14ac:dyDescent="0.3">
      <c r="A4" s="548" t="s">
        <v>483</v>
      </c>
      <c r="B4" s="549"/>
      <c r="C4" s="549"/>
      <c r="D4" s="549"/>
    </row>
    <row r="5" spans="1:4" ht="45" x14ac:dyDescent="0.25">
      <c r="A5" s="165" t="s">
        <v>285</v>
      </c>
      <c r="B5" s="166" t="s">
        <v>3</v>
      </c>
      <c r="C5" s="167" t="s">
        <v>654</v>
      </c>
      <c r="D5" s="167" t="s">
        <v>653</v>
      </c>
    </row>
    <row r="6" spans="1:4" ht="16.5" x14ac:dyDescent="0.3">
      <c r="A6" s="168">
        <v>1</v>
      </c>
      <c r="B6" s="169" t="s">
        <v>512</v>
      </c>
      <c r="C6" s="170" t="s">
        <v>290</v>
      </c>
      <c r="D6" s="170" t="s">
        <v>290</v>
      </c>
    </row>
    <row r="7" spans="1:4" ht="16.5" x14ac:dyDescent="0.3">
      <c r="A7" s="170">
        <v>2</v>
      </c>
      <c r="B7" s="171" t="s">
        <v>513</v>
      </c>
      <c r="C7" s="170"/>
      <c r="D7" s="170"/>
    </row>
    <row r="8" spans="1:4" ht="16.5" x14ac:dyDescent="0.3">
      <c r="A8" s="156"/>
      <c r="B8" s="163"/>
      <c r="C8" s="156"/>
      <c r="D8" s="156"/>
    </row>
    <row r="9" spans="1:4" ht="16.5" x14ac:dyDescent="0.3">
      <c r="A9" s="172" t="s">
        <v>514</v>
      </c>
      <c r="B9" s="163" t="s">
        <v>585</v>
      </c>
      <c r="C9" s="375">
        <f>+'[1]Balacnesheet P&amp;L'!$D$89</f>
        <v>728117</v>
      </c>
      <c r="D9" s="375">
        <v>1940000</v>
      </c>
    </row>
    <row r="10" spans="1:4" ht="16.5" x14ac:dyDescent="0.3">
      <c r="A10" s="172" t="s">
        <v>515</v>
      </c>
      <c r="B10" s="163" t="s">
        <v>516</v>
      </c>
      <c r="C10" s="375">
        <f>+'[1]Balacnesheet P&amp;L'!$D$87</f>
        <v>3474280</v>
      </c>
      <c r="D10" s="375">
        <v>30000</v>
      </c>
    </row>
    <row r="11" spans="1:4" ht="16.5" x14ac:dyDescent="0.3">
      <c r="A11" s="172" t="s">
        <v>517</v>
      </c>
      <c r="B11" s="163" t="s">
        <v>518</v>
      </c>
      <c r="C11" s="156" t="s">
        <v>290</v>
      </c>
      <c r="D11" s="156" t="s">
        <v>290</v>
      </c>
    </row>
    <row r="12" spans="1:4" ht="33" x14ac:dyDescent="0.3">
      <c r="A12" s="173" t="s">
        <v>519</v>
      </c>
      <c r="B12" s="164" t="s">
        <v>520</v>
      </c>
      <c r="C12" s="156" t="s">
        <v>290</v>
      </c>
      <c r="D12" s="156" t="s">
        <v>290</v>
      </c>
    </row>
    <row r="13" spans="1:4" ht="16.5" x14ac:dyDescent="0.3">
      <c r="A13" s="172" t="s">
        <v>521</v>
      </c>
      <c r="B13" s="163" t="s">
        <v>522</v>
      </c>
      <c r="C13" s="375">
        <v>0</v>
      </c>
      <c r="D13" s="375">
        <v>20000</v>
      </c>
    </row>
    <row r="14" spans="1:4" ht="16.5" x14ac:dyDescent="0.3">
      <c r="A14" s="174" t="s">
        <v>523</v>
      </c>
      <c r="B14" s="175" t="s">
        <v>524</v>
      </c>
      <c r="C14" s="159" t="s">
        <v>290</v>
      </c>
      <c r="D14" s="159" t="s">
        <v>290</v>
      </c>
    </row>
    <row r="15" spans="1:4" ht="16.5" x14ac:dyDescent="0.3">
      <c r="A15" s="366"/>
      <c r="B15" s="181" t="s">
        <v>499</v>
      </c>
      <c r="C15" s="375">
        <f>SUM(C9:C14)</f>
        <v>4202397</v>
      </c>
      <c r="D15" s="493">
        <f>SUM(D9:D14)</f>
        <v>1990000</v>
      </c>
    </row>
    <row r="16" spans="1:4" ht="16.5" x14ac:dyDescent="0.3">
      <c r="A16" s="170">
        <v>3</v>
      </c>
      <c r="B16" s="171" t="s">
        <v>525</v>
      </c>
      <c r="C16" s="170"/>
      <c r="D16" s="170"/>
    </row>
    <row r="17" spans="1:4" ht="16.5" x14ac:dyDescent="0.3">
      <c r="A17" s="156"/>
      <c r="B17" s="163"/>
      <c r="C17" s="156"/>
      <c r="D17" s="156"/>
    </row>
    <row r="18" spans="1:4" ht="16.5" x14ac:dyDescent="0.3">
      <c r="A18" s="172" t="s">
        <v>514</v>
      </c>
      <c r="B18" s="163" t="s">
        <v>526</v>
      </c>
      <c r="C18" s="156" t="s">
        <v>290</v>
      </c>
      <c r="D18" s="156" t="s">
        <v>290</v>
      </c>
    </row>
    <row r="19" spans="1:4" ht="16.5" x14ac:dyDescent="0.3">
      <c r="A19" s="172" t="s">
        <v>515</v>
      </c>
      <c r="B19" s="163" t="s">
        <v>527</v>
      </c>
      <c r="C19" s="156" t="s">
        <v>290</v>
      </c>
      <c r="D19" s="156" t="s">
        <v>290</v>
      </c>
    </row>
    <row r="20" spans="1:4" ht="16.5" x14ac:dyDescent="0.3">
      <c r="A20" s="172" t="s">
        <v>517</v>
      </c>
      <c r="B20" s="163" t="s">
        <v>528</v>
      </c>
      <c r="C20" s="156" t="s">
        <v>290</v>
      </c>
      <c r="D20" s="156" t="s">
        <v>290</v>
      </c>
    </row>
    <row r="21" spans="1:4" ht="16.5" x14ac:dyDescent="0.3">
      <c r="A21" s="172" t="s">
        <v>519</v>
      </c>
      <c r="B21" s="163" t="s">
        <v>529</v>
      </c>
      <c r="C21" s="156" t="s">
        <v>290</v>
      </c>
      <c r="D21" s="156" t="s">
        <v>290</v>
      </c>
    </row>
    <row r="22" spans="1:4" ht="16.5" x14ac:dyDescent="0.3">
      <c r="A22" s="176" t="s">
        <v>521</v>
      </c>
      <c r="B22" s="177" t="s">
        <v>530</v>
      </c>
      <c r="C22" s="156" t="s">
        <v>290</v>
      </c>
      <c r="D22" s="156" t="s">
        <v>290</v>
      </c>
    </row>
    <row r="23" spans="1:4" ht="16.5" x14ac:dyDescent="0.3">
      <c r="A23" s="366"/>
      <c r="B23" s="181" t="s">
        <v>561</v>
      </c>
      <c r="C23" s="367">
        <f>SUM(C17:C22)</f>
        <v>0</v>
      </c>
      <c r="D23" s="367">
        <v>0</v>
      </c>
    </row>
    <row r="24" spans="1:4" ht="16.5" x14ac:dyDescent="0.3">
      <c r="A24" s="156">
        <v>4</v>
      </c>
      <c r="B24" s="163" t="s">
        <v>531</v>
      </c>
      <c r="C24" s="156"/>
      <c r="D24" s="156"/>
    </row>
    <row r="25" spans="1:4" ht="16.5" x14ac:dyDescent="0.3">
      <c r="A25" s="156"/>
      <c r="B25" s="163"/>
      <c r="C25" s="156"/>
      <c r="D25" s="156"/>
    </row>
    <row r="26" spans="1:4" ht="16.5" x14ac:dyDescent="0.3">
      <c r="A26" s="178" t="s">
        <v>198</v>
      </c>
      <c r="B26" s="177" t="s">
        <v>532</v>
      </c>
      <c r="C26" s="156" t="s">
        <v>290</v>
      </c>
      <c r="D26" s="156" t="s">
        <v>290</v>
      </c>
    </row>
    <row r="27" spans="1:4" ht="16.5" x14ac:dyDescent="0.3">
      <c r="A27" s="170">
        <v>5</v>
      </c>
      <c r="B27" s="171" t="s">
        <v>495</v>
      </c>
      <c r="C27" s="170"/>
      <c r="D27" s="170"/>
    </row>
    <row r="28" spans="1:4" ht="16.5" x14ac:dyDescent="0.3">
      <c r="A28" s="156"/>
      <c r="B28" s="163"/>
      <c r="C28" s="156"/>
      <c r="D28" s="156"/>
    </row>
    <row r="29" spans="1:4" ht="33" x14ac:dyDescent="0.3">
      <c r="A29" s="173" t="s">
        <v>514</v>
      </c>
      <c r="B29" s="164" t="s">
        <v>533</v>
      </c>
      <c r="C29" s="156" t="s">
        <v>290</v>
      </c>
      <c r="D29" s="156" t="s">
        <v>290</v>
      </c>
    </row>
    <row r="30" spans="1:4" ht="16.5" x14ac:dyDescent="0.3">
      <c r="A30" s="172" t="s">
        <v>515</v>
      </c>
      <c r="B30" s="163" t="s">
        <v>534</v>
      </c>
      <c r="C30" s="156" t="s">
        <v>290</v>
      </c>
      <c r="D30" s="156" t="s">
        <v>290</v>
      </c>
    </row>
    <row r="31" spans="1:4" ht="16.5" x14ac:dyDescent="0.3">
      <c r="A31" s="172" t="s">
        <v>517</v>
      </c>
      <c r="B31" s="163" t="s">
        <v>535</v>
      </c>
      <c r="C31" s="156" t="s">
        <v>290</v>
      </c>
      <c r="D31" s="156" t="s">
        <v>290</v>
      </c>
    </row>
    <row r="32" spans="1:4" ht="16.5" x14ac:dyDescent="0.3">
      <c r="A32" s="172" t="s">
        <v>519</v>
      </c>
      <c r="B32" s="163" t="s">
        <v>536</v>
      </c>
      <c r="C32" s="156" t="s">
        <v>290</v>
      </c>
      <c r="D32" s="156" t="s">
        <v>290</v>
      </c>
    </row>
    <row r="33" spans="1:5" ht="16.5" x14ac:dyDescent="0.3">
      <c r="A33" s="172" t="s">
        <v>521</v>
      </c>
      <c r="B33" s="163" t="s">
        <v>537</v>
      </c>
      <c r="C33" s="156" t="s">
        <v>290</v>
      </c>
      <c r="D33" s="156" t="s">
        <v>290</v>
      </c>
    </row>
    <row r="34" spans="1:5" ht="16.5" x14ac:dyDescent="0.3">
      <c r="A34" s="172" t="s">
        <v>523</v>
      </c>
      <c r="B34" s="163" t="s">
        <v>538</v>
      </c>
      <c r="C34" s="156" t="s">
        <v>290</v>
      </c>
      <c r="D34" s="156" t="s">
        <v>290</v>
      </c>
    </row>
    <row r="35" spans="1:5" ht="16.5" x14ac:dyDescent="0.3">
      <c r="A35" s="172" t="s">
        <v>539</v>
      </c>
      <c r="B35" s="163" t="s">
        <v>540</v>
      </c>
      <c r="C35" s="156" t="s">
        <v>290</v>
      </c>
      <c r="D35" s="156" t="s">
        <v>290</v>
      </c>
    </row>
    <row r="36" spans="1:5" ht="16.5" x14ac:dyDescent="0.3">
      <c r="A36" s="172" t="s">
        <v>541</v>
      </c>
      <c r="B36" s="163" t="s">
        <v>542</v>
      </c>
      <c r="C36" s="156" t="s">
        <v>290</v>
      </c>
      <c r="D36" s="156" t="s">
        <v>290</v>
      </c>
    </row>
    <row r="37" spans="1:5" ht="16.5" x14ac:dyDescent="0.3">
      <c r="A37" s="179" t="s">
        <v>198</v>
      </c>
      <c r="B37" s="163" t="s">
        <v>543</v>
      </c>
      <c r="C37" s="156" t="s">
        <v>290</v>
      </c>
      <c r="D37" s="156" t="s">
        <v>290</v>
      </c>
    </row>
    <row r="38" spans="1:5" ht="16.5" x14ac:dyDescent="0.3">
      <c r="A38" s="176" t="s">
        <v>544</v>
      </c>
      <c r="B38" s="177" t="s">
        <v>545</v>
      </c>
      <c r="C38" s="374">
        <v>0</v>
      </c>
      <c r="D38" s="374">
        <v>50000</v>
      </c>
    </row>
    <row r="39" spans="1:5" ht="16.5" x14ac:dyDescent="0.3">
      <c r="A39" s="180"/>
      <c r="B39" s="181" t="s">
        <v>560</v>
      </c>
      <c r="C39" s="400">
        <f>SUM(C38)</f>
        <v>0</v>
      </c>
      <c r="D39" s="374">
        <v>50000</v>
      </c>
    </row>
    <row r="40" spans="1:5" ht="16.5" x14ac:dyDescent="0.3">
      <c r="A40" s="180"/>
      <c r="B40" s="181" t="s">
        <v>76</v>
      </c>
      <c r="C40" s="374">
        <f>C39+C15+C23</f>
        <v>4202397</v>
      </c>
      <c r="D40" s="374">
        <f>D39+D15+D23</f>
        <v>2040000</v>
      </c>
    </row>
    <row r="41" spans="1:5" x14ac:dyDescent="0.25">
      <c r="A41" s="57"/>
      <c r="B41" s="57"/>
      <c r="C41" s="57"/>
      <c r="D41" s="57"/>
    </row>
    <row r="42" spans="1:5" x14ac:dyDescent="0.25">
      <c r="A42" s="57"/>
      <c r="B42" s="57"/>
      <c r="C42" s="57"/>
      <c r="D42" s="57"/>
    </row>
    <row r="43" spans="1:5" ht="15" x14ac:dyDescent="0.3">
      <c r="A43" s="36"/>
      <c r="B43" s="61"/>
      <c r="C43" s="61"/>
      <c r="D43" s="34"/>
    </row>
    <row r="44" spans="1:5" ht="15" x14ac:dyDescent="0.25">
      <c r="A44" s="350" t="s">
        <v>678</v>
      </c>
      <c r="B44" s="34"/>
      <c r="C44" s="34"/>
      <c r="D44" s="351" t="s">
        <v>606</v>
      </c>
      <c r="E44" s="34"/>
    </row>
    <row r="45" spans="1:5" ht="15" x14ac:dyDescent="0.25">
      <c r="A45" s="114" t="s">
        <v>679</v>
      </c>
      <c r="B45" s="34"/>
      <c r="C45" s="34"/>
      <c r="D45" s="352" t="s">
        <v>604</v>
      </c>
      <c r="E45" s="34"/>
    </row>
    <row r="46" spans="1:5" ht="13.5" x14ac:dyDescent="0.25">
      <c r="A46" s="34"/>
      <c r="B46" s="34"/>
      <c r="C46" s="34"/>
      <c r="D46" s="34"/>
      <c r="E46" s="34"/>
    </row>
    <row r="47" spans="1:5" x14ac:dyDescent="0.25">
      <c r="B47" s="33"/>
      <c r="C47" s="33"/>
      <c r="D47" s="34"/>
      <c r="E47" s="34"/>
    </row>
    <row r="48" spans="1:5" ht="13.5" x14ac:dyDescent="0.25">
      <c r="A48" s="34"/>
      <c r="B48" s="33"/>
      <c r="C48" s="33"/>
      <c r="D48" s="34"/>
      <c r="E48" s="34"/>
    </row>
    <row r="49" spans="1:10" ht="13.5" x14ac:dyDescent="0.25">
      <c r="A49" s="34"/>
      <c r="B49" s="34"/>
      <c r="C49" s="34"/>
      <c r="D49" s="34"/>
    </row>
    <row r="50" spans="1:10" ht="15" x14ac:dyDescent="0.25">
      <c r="A50" s="350" t="s">
        <v>650</v>
      </c>
      <c r="B50" s="7"/>
      <c r="C50" s="17"/>
      <c r="D50"/>
      <c r="E50"/>
      <c r="F50"/>
      <c r="G50"/>
      <c r="H50"/>
      <c r="I50"/>
      <c r="J50"/>
    </row>
    <row r="51" spans="1:10" ht="15" x14ac:dyDescent="0.25">
      <c r="A51" s="114" t="s">
        <v>480</v>
      </c>
      <c r="B51" s="7"/>
      <c r="C51" s="17"/>
      <c r="D51" s="449" t="s">
        <v>605</v>
      </c>
      <c r="E51"/>
      <c r="F51"/>
      <c r="G51"/>
      <c r="H51"/>
      <c r="I51"/>
      <c r="J51"/>
    </row>
    <row r="52" spans="1:10" x14ac:dyDescent="0.25">
      <c r="D52" s="449"/>
    </row>
    <row r="53" spans="1:10" x14ac:dyDescent="0.25">
      <c r="D53" s="449"/>
    </row>
    <row r="54" spans="1:10" ht="16.5" x14ac:dyDescent="0.3">
      <c r="A54" s="34" t="s">
        <v>410</v>
      </c>
      <c r="D54" s="450"/>
    </row>
    <row r="55" spans="1:10" ht="16.5" x14ac:dyDescent="0.3">
      <c r="A55" s="255" t="s">
        <v>677</v>
      </c>
      <c r="D55" s="450"/>
    </row>
    <row r="56" spans="1:10" x14ac:dyDescent="0.25">
      <c r="D56" s="449"/>
    </row>
    <row r="57" spans="1:10" x14ac:dyDescent="0.25">
      <c r="D57" s="449"/>
    </row>
    <row r="58" spans="1:10" x14ac:dyDescent="0.25">
      <c r="D58" s="449"/>
    </row>
    <row r="59" spans="1:10" ht="16.5" x14ac:dyDescent="0.3">
      <c r="D59" s="450"/>
    </row>
    <row r="60" spans="1:10" ht="16.5" x14ac:dyDescent="0.3">
      <c r="D60" s="450"/>
    </row>
  </sheetData>
  <mergeCells count="3">
    <mergeCell ref="A1:D1"/>
    <mergeCell ref="A3:D3"/>
    <mergeCell ref="A4:D4"/>
  </mergeCells>
  <phoneticPr fontId="4" type="noConversion"/>
  <pageMargins left="1.1000000000000001" right="0.53" top="0.5" bottom="0.63" header="0.34" footer="0.3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topLeftCell="A52" zoomScaleNormal="75" workbookViewId="0">
      <selection sqref="A1:H65"/>
    </sheetView>
  </sheetViews>
  <sheetFormatPr defaultRowHeight="14.25" x14ac:dyDescent="0.2"/>
  <cols>
    <col min="1" max="1" width="4" style="16" customWidth="1"/>
    <col min="2" max="2" width="25" customWidth="1"/>
    <col min="3" max="3" width="12.75" bestFit="1" customWidth="1"/>
    <col min="4" max="5" width="14.25" bestFit="1" customWidth="1"/>
    <col min="6" max="6" width="12.75" bestFit="1" customWidth="1"/>
    <col min="7" max="7" width="14.25" bestFit="1" customWidth="1"/>
    <col min="8" max="8" width="14.75" customWidth="1"/>
    <col min="10" max="10" width="17.875" customWidth="1"/>
  </cols>
  <sheetData>
    <row r="1" spans="1:9" ht="18.75" x14ac:dyDescent="0.3">
      <c r="A1" s="551" t="s">
        <v>7</v>
      </c>
      <c r="B1" s="551"/>
      <c r="C1" s="551"/>
      <c r="D1" s="551"/>
      <c r="E1" s="551"/>
      <c r="F1" s="551"/>
      <c r="G1" s="551"/>
      <c r="H1" s="551"/>
    </row>
    <row r="2" spans="1:9" ht="16.5" x14ac:dyDescent="0.3">
      <c r="A2" s="77"/>
      <c r="B2" s="63"/>
      <c r="C2" s="63"/>
      <c r="D2" s="63"/>
      <c r="E2" s="63"/>
      <c r="F2" s="140"/>
      <c r="G2" s="140"/>
      <c r="H2" s="140"/>
    </row>
    <row r="3" spans="1:9" ht="16.5" x14ac:dyDescent="0.3">
      <c r="A3" s="506" t="s">
        <v>8</v>
      </c>
      <c r="B3" s="506"/>
      <c r="C3" s="506"/>
      <c r="D3" s="506"/>
      <c r="E3" s="506"/>
      <c r="F3" s="506"/>
      <c r="G3" s="506"/>
      <c r="H3" s="506"/>
    </row>
    <row r="4" spans="1:9" ht="16.5" x14ac:dyDescent="0.3">
      <c r="A4" s="77"/>
      <c r="B4" s="63"/>
      <c r="C4" s="63"/>
      <c r="D4" s="63"/>
      <c r="E4" s="63"/>
    </row>
    <row r="5" spans="1:9" ht="15" x14ac:dyDescent="0.25">
      <c r="A5" s="519" t="s">
        <v>79</v>
      </c>
      <c r="B5" s="519" t="s">
        <v>85</v>
      </c>
      <c r="C5" s="512" t="s">
        <v>655</v>
      </c>
      <c r="D5" s="550"/>
      <c r="E5" s="513"/>
      <c r="F5" s="512" t="s">
        <v>656</v>
      </c>
      <c r="G5" s="550"/>
      <c r="H5" s="513"/>
    </row>
    <row r="6" spans="1:9" ht="15" x14ac:dyDescent="0.25">
      <c r="A6" s="539"/>
      <c r="B6" s="539"/>
      <c r="C6" s="151" t="s">
        <v>80</v>
      </c>
      <c r="D6" s="186" t="s">
        <v>83</v>
      </c>
      <c r="E6" s="152" t="s">
        <v>38</v>
      </c>
      <c r="F6" s="151" t="s">
        <v>80</v>
      </c>
      <c r="G6" s="186" t="s">
        <v>83</v>
      </c>
      <c r="H6" s="152" t="s">
        <v>38</v>
      </c>
    </row>
    <row r="7" spans="1:9" ht="15" x14ac:dyDescent="0.25">
      <c r="A7" s="539"/>
      <c r="B7" s="539"/>
      <c r="C7" s="151" t="s">
        <v>81</v>
      </c>
      <c r="D7" s="186" t="s">
        <v>84</v>
      </c>
      <c r="E7" s="152"/>
      <c r="F7" s="151" t="s">
        <v>81</v>
      </c>
      <c r="G7" s="186" t="s">
        <v>84</v>
      </c>
      <c r="H7" s="152"/>
    </row>
    <row r="8" spans="1:9" ht="15" x14ac:dyDescent="0.25">
      <c r="A8" s="520"/>
      <c r="B8" s="520"/>
      <c r="C8" s="189" t="s">
        <v>82</v>
      </c>
      <c r="D8" s="102"/>
      <c r="E8" s="190"/>
      <c r="F8" s="189" t="s">
        <v>82</v>
      </c>
      <c r="G8" s="102"/>
      <c r="H8" s="190"/>
    </row>
    <row r="9" spans="1:9" ht="16.5" x14ac:dyDescent="0.3">
      <c r="A9" s="105"/>
      <c r="B9" s="71"/>
      <c r="C9" s="73"/>
      <c r="D9" s="67"/>
      <c r="E9" s="74"/>
      <c r="F9" s="73"/>
      <c r="G9" s="67"/>
      <c r="H9" s="74"/>
    </row>
    <row r="10" spans="1:9" ht="16.5" x14ac:dyDescent="0.3">
      <c r="A10" s="105">
        <v>1</v>
      </c>
      <c r="B10" s="67" t="s">
        <v>86</v>
      </c>
      <c r="C10" s="73"/>
      <c r="D10" s="67"/>
      <c r="E10" s="74"/>
      <c r="F10" s="73"/>
      <c r="G10" s="429"/>
      <c r="H10" s="435"/>
    </row>
    <row r="11" spans="1:9" ht="16.5" x14ac:dyDescent="0.3">
      <c r="A11" s="105"/>
      <c r="B11" s="67" t="s">
        <v>87</v>
      </c>
      <c r="C11" s="73"/>
      <c r="D11" s="67"/>
      <c r="E11" s="74"/>
      <c r="F11" s="73"/>
      <c r="G11" s="429"/>
      <c r="H11" s="435"/>
    </row>
    <row r="12" spans="1:9" ht="16.5" x14ac:dyDescent="0.3">
      <c r="A12" s="105"/>
      <c r="B12" s="67" t="s">
        <v>88</v>
      </c>
      <c r="C12" s="73"/>
      <c r="D12" s="67"/>
      <c r="E12" s="74"/>
      <c r="F12" s="73"/>
      <c r="G12" s="429"/>
      <c r="H12" s="435"/>
    </row>
    <row r="13" spans="1:9" ht="16.5" x14ac:dyDescent="0.3">
      <c r="A13" s="105"/>
      <c r="B13" s="67" t="s">
        <v>89</v>
      </c>
      <c r="C13" s="73"/>
      <c r="D13" s="67"/>
      <c r="E13" s="74"/>
      <c r="F13" s="73"/>
      <c r="G13" s="429"/>
      <c r="H13" s="435"/>
    </row>
    <row r="14" spans="1:9" ht="16.5" x14ac:dyDescent="0.3">
      <c r="A14" s="105"/>
      <c r="B14" s="67" t="s">
        <v>90</v>
      </c>
      <c r="C14" s="73"/>
      <c r="D14" s="67"/>
      <c r="E14" s="74"/>
      <c r="F14" s="73"/>
      <c r="G14" s="429"/>
      <c r="H14" s="435"/>
    </row>
    <row r="15" spans="1:9" ht="16.5" x14ac:dyDescent="0.3">
      <c r="A15" s="105"/>
      <c r="B15" s="67" t="s">
        <v>91</v>
      </c>
      <c r="C15" s="73"/>
      <c r="D15" s="67"/>
      <c r="E15" s="74"/>
      <c r="F15" s="73"/>
      <c r="G15" s="429"/>
      <c r="H15" s="435"/>
    </row>
    <row r="16" spans="1:9" ht="16.5" x14ac:dyDescent="0.3">
      <c r="A16" s="105"/>
      <c r="B16" s="67" t="s">
        <v>92</v>
      </c>
      <c r="C16" s="73"/>
      <c r="D16" s="67"/>
      <c r="E16" s="74"/>
      <c r="F16" s="73"/>
      <c r="G16" s="67"/>
      <c r="H16" s="74"/>
      <c r="I16" s="441"/>
    </row>
    <row r="17" spans="1:9" ht="16.5" x14ac:dyDescent="0.3">
      <c r="A17" s="105"/>
      <c r="B17" s="67" t="s">
        <v>93</v>
      </c>
      <c r="C17" s="73"/>
      <c r="D17" s="67"/>
      <c r="E17" s="74"/>
      <c r="F17" s="73"/>
      <c r="G17" s="67"/>
      <c r="H17" s="74"/>
      <c r="I17" s="441"/>
    </row>
    <row r="18" spans="1:9" ht="16.5" x14ac:dyDescent="0.3">
      <c r="A18" s="105"/>
      <c r="B18" s="67" t="s">
        <v>94</v>
      </c>
      <c r="C18" s="73"/>
      <c r="D18" s="187">
        <v>0</v>
      </c>
      <c r="E18" s="198">
        <f>+D18</f>
        <v>0</v>
      </c>
      <c r="F18" s="73"/>
      <c r="G18" s="187">
        <v>30000</v>
      </c>
      <c r="H18" s="198">
        <f>G18</f>
        <v>30000</v>
      </c>
      <c r="I18" s="441"/>
    </row>
    <row r="19" spans="1:9" ht="16.5" x14ac:dyDescent="0.3">
      <c r="A19" s="105"/>
      <c r="B19" s="67" t="s">
        <v>95</v>
      </c>
      <c r="C19" s="73"/>
      <c r="D19" s="187"/>
      <c r="E19" s="199"/>
      <c r="F19" s="73"/>
      <c r="G19" s="436"/>
      <c r="H19" s="437"/>
    </row>
    <row r="20" spans="1:9" ht="16.5" x14ac:dyDescent="0.3">
      <c r="A20" s="105"/>
      <c r="B20" s="67"/>
      <c r="C20" s="73"/>
      <c r="D20" s="187"/>
      <c r="E20" s="199"/>
      <c r="F20" s="73"/>
      <c r="G20" s="436"/>
      <c r="H20" s="437"/>
    </row>
    <row r="21" spans="1:9" ht="16.5" x14ac:dyDescent="0.3">
      <c r="A21" s="105"/>
      <c r="B21" s="67" t="s">
        <v>96</v>
      </c>
      <c r="C21" s="73"/>
      <c r="D21" s="187"/>
      <c r="E21" s="199"/>
      <c r="F21" s="73"/>
      <c r="G21" s="436"/>
      <c r="H21" s="437"/>
    </row>
    <row r="22" spans="1:9" ht="16.5" x14ac:dyDescent="0.3">
      <c r="A22" s="105"/>
      <c r="B22" s="67"/>
      <c r="C22" s="73"/>
      <c r="D22" s="187"/>
      <c r="E22" s="199"/>
      <c r="F22" s="73"/>
      <c r="G22" s="436"/>
      <c r="H22" s="437"/>
    </row>
    <row r="23" spans="1:9" ht="16.5" x14ac:dyDescent="0.3">
      <c r="A23" s="105">
        <v>2</v>
      </c>
      <c r="B23" s="67" t="s">
        <v>97</v>
      </c>
      <c r="C23" s="73"/>
      <c r="D23" s="187"/>
      <c r="E23" s="199"/>
      <c r="F23" s="73"/>
      <c r="G23" s="436"/>
      <c r="H23" s="437"/>
    </row>
    <row r="24" spans="1:9" ht="16.5" x14ac:dyDescent="0.3">
      <c r="A24" s="105"/>
      <c r="B24" s="67" t="s">
        <v>98</v>
      </c>
      <c r="C24" s="73"/>
      <c r="D24" s="187"/>
      <c r="E24" s="199"/>
      <c r="F24" s="73"/>
      <c r="G24" s="436"/>
      <c r="H24" s="437"/>
    </row>
    <row r="25" spans="1:9" ht="16.5" x14ac:dyDescent="0.3">
      <c r="A25" s="105"/>
      <c r="B25" s="67"/>
      <c r="C25" s="73"/>
      <c r="D25" s="187"/>
      <c r="E25" s="199"/>
      <c r="F25" s="73"/>
      <c r="G25" s="436"/>
      <c r="H25" s="437"/>
    </row>
    <row r="26" spans="1:9" ht="16.5" x14ac:dyDescent="0.3">
      <c r="A26" s="105">
        <v>3</v>
      </c>
      <c r="B26" s="67" t="s">
        <v>99</v>
      </c>
      <c r="C26" s="73"/>
      <c r="D26" s="187"/>
      <c r="E26" s="199"/>
      <c r="F26" s="73"/>
      <c r="G26" s="436"/>
      <c r="H26" s="437"/>
    </row>
    <row r="27" spans="1:9" ht="16.5" x14ac:dyDescent="0.3">
      <c r="A27" s="105"/>
      <c r="B27" s="67" t="s">
        <v>100</v>
      </c>
      <c r="C27" s="73"/>
      <c r="D27" s="187"/>
      <c r="E27" s="199"/>
      <c r="F27" s="73"/>
      <c r="G27" s="436"/>
      <c r="H27" s="437"/>
    </row>
    <row r="28" spans="1:9" ht="16.5" x14ac:dyDescent="0.3">
      <c r="A28" s="105"/>
      <c r="B28" s="67"/>
      <c r="C28" s="73"/>
      <c r="D28" s="187"/>
      <c r="E28" s="199"/>
      <c r="F28" s="73"/>
      <c r="G28" s="436"/>
      <c r="H28" s="437"/>
    </row>
    <row r="29" spans="1:9" ht="16.5" x14ac:dyDescent="0.3">
      <c r="A29" s="105">
        <v>4</v>
      </c>
      <c r="B29" s="67" t="s">
        <v>101</v>
      </c>
      <c r="C29" s="73"/>
      <c r="D29" s="187"/>
      <c r="E29" s="199"/>
      <c r="F29" s="73"/>
      <c r="G29" s="436"/>
      <c r="H29" s="437"/>
    </row>
    <row r="30" spans="1:9" ht="16.5" x14ac:dyDescent="0.3">
      <c r="A30" s="105"/>
      <c r="B30" s="67"/>
      <c r="C30" s="73"/>
      <c r="D30" s="187"/>
      <c r="E30" s="199"/>
      <c r="F30" s="73"/>
      <c r="G30" s="436"/>
      <c r="H30" s="437"/>
    </row>
    <row r="31" spans="1:9" ht="16.5" x14ac:dyDescent="0.3">
      <c r="A31" s="105">
        <v>5</v>
      </c>
      <c r="B31" s="67" t="s">
        <v>102</v>
      </c>
      <c r="C31" s="73"/>
      <c r="D31" s="187"/>
      <c r="E31" s="199"/>
      <c r="F31" s="73"/>
      <c r="G31" s="436"/>
      <c r="H31" s="437"/>
    </row>
    <row r="32" spans="1:9" ht="16.5" x14ac:dyDescent="0.3">
      <c r="A32" s="105"/>
      <c r="B32" s="67"/>
      <c r="C32" s="73"/>
      <c r="D32" s="187"/>
      <c r="E32" s="199"/>
      <c r="F32" s="73"/>
      <c r="G32" s="436"/>
      <c r="H32" s="437"/>
    </row>
    <row r="33" spans="1:8" ht="16.5" x14ac:dyDescent="0.3">
      <c r="A33" s="105">
        <v>6</v>
      </c>
      <c r="B33" s="67" t="s">
        <v>103</v>
      </c>
      <c r="C33" s="73"/>
      <c r="D33" s="187"/>
      <c r="E33" s="199"/>
      <c r="F33" s="73"/>
      <c r="G33" s="187"/>
      <c r="H33" s="199"/>
    </row>
    <row r="34" spans="1:8" ht="16.5" x14ac:dyDescent="0.3">
      <c r="A34" s="105"/>
      <c r="B34" s="67" t="s">
        <v>104</v>
      </c>
      <c r="C34" s="73"/>
      <c r="D34" s="187">
        <f>+'[1]Balacnesheet P&amp;L'!$D$108</f>
        <v>13989350</v>
      </c>
      <c r="E34" s="198">
        <f>D34</f>
        <v>13989350</v>
      </c>
      <c r="F34" s="73"/>
      <c r="G34" s="187">
        <v>19640000</v>
      </c>
      <c r="H34" s="198">
        <f>G34</f>
        <v>19640000</v>
      </c>
    </row>
    <row r="35" spans="1:8" ht="16.5" x14ac:dyDescent="0.3">
      <c r="A35" s="105"/>
      <c r="B35" s="67"/>
      <c r="C35" s="73"/>
      <c r="D35" s="187"/>
      <c r="E35" s="199"/>
      <c r="F35" s="73"/>
      <c r="G35" s="187"/>
      <c r="H35" s="199"/>
    </row>
    <row r="36" spans="1:8" ht="16.5" x14ac:dyDescent="0.3">
      <c r="A36" s="105">
        <v>7</v>
      </c>
      <c r="B36" s="67" t="s">
        <v>105</v>
      </c>
      <c r="C36" s="73"/>
      <c r="D36" s="187"/>
      <c r="E36" s="199"/>
      <c r="F36" s="73"/>
      <c r="G36" s="187"/>
      <c r="H36" s="199"/>
    </row>
    <row r="37" spans="1:8" ht="16.5" x14ac:dyDescent="0.3">
      <c r="A37" s="105"/>
      <c r="B37" s="67"/>
      <c r="C37" s="73"/>
      <c r="D37" s="187"/>
      <c r="E37" s="199"/>
      <c r="F37" s="73"/>
      <c r="G37" s="436"/>
      <c r="H37" s="437"/>
    </row>
    <row r="38" spans="1:8" ht="16.5" x14ac:dyDescent="0.3">
      <c r="A38" s="105">
        <v>8</v>
      </c>
      <c r="B38" s="67" t="s">
        <v>106</v>
      </c>
      <c r="C38" s="73"/>
      <c r="D38" s="187"/>
      <c r="E38" s="199"/>
      <c r="F38" s="73"/>
      <c r="G38" s="436"/>
      <c r="H38" s="437"/>
    </row>
    <row r="39" spans="1:8" ht="16.5" x14ac:dyDescent="0.3">
      <c r="A39" s="105"/>
      <c r="B39" s="67" t="s">
        <v>107</v>
      </c>
      <c r="C39" s="73"/>
      <c r="D39" s="187"/>
      <c r="E39" s="199"/>
      <c r="F39" s="73"/>
      <c r="G39" s="436"/>
      <c r="H39" s="437"/>
    </row>
    <row r="40" spans="1:8" ht="16.5" x14ac:dyDescent="0.3">
      <c r="A40" s="105"/>
      <c r="B40" s="67"/>
      <c r="C40" s="73"/>
      <c r="D40" s="187"/>
      <c r="E40" s="199"/>
      <c r="F40" s="73"/>
      <c r="G40" s="436"/>
      <c r="H40" s="437"/>
    </row>
    <row r="41" spans="1:8" ht="16.5" x14ac:dyDescent="0.3">
      <c r="A41" s="105">
        <v>9</v>
      </c>
      <c r="B41" s="67" t="s">
        <v>108</v>
      </c>
      <c r="C41" s="73"/>
      <c r="D41" s="187"/>
      <c r="E41" s="199"/>
      <c r="F41" s="73"/>
      <c r="G41" s="436"/>
      <c r="H41" s="437"/>
    </row>
    <row r="42" spans="1:8" ht="16.5" x14ac:dyDescent="0.3">
      <c r="A42" s="105"/>
      <c r="B42" s="67"/>
      <c r="C42" s="73"/>
      <c r="D42" s="187"/>
      <c r="E42" s="199"/>
      <c r="F42" s="73"/>
      <c r="G42" s="436"/>
      <c r="H42" s="437"/>
    </row>
    <row r="43" spans="1:8" ht="16.5" x14ac:dyDescent="0.3">
      <c r="A43" s="105">
        <v>10</v>
      </c>
      <c r="B43" s="67" t="s">
        <v>109</v>
      </c>
      <c r="C43" s="73"/>
      <c r="D43" s="187"/>
      <c r="E43" s="199"/>
      <c r="F43" s="73"/>
      <c r="G43" s="436"/>
      <c r="H43" s="437"/>
    </row>
    <row r="44" spans="1:8" ht="16.5" x14ac:dyDescent="0.3">
      <c r="A44" s="105"/>
      <c r="B44" s="67"/>
      <c r="C44" s="73"/>
      <c r="D44" s="187"/>
      <c r="E44" s="199"/>
      <c r="F44" s="73"/>
      <c r="G44" s="436"/>
      <c r="H44" s="437"/>
    </row>
    <row r="45" spans="1:8" ht="16.5" x14ac:dyDescent="0.3">
      <c r="A45" s="105">
        <v>11</v>
      </c>
      <c r="B45" s="67" t="s">
        <v>110</v>
      </c>
      <c r="C45" s="73"/>
      <c r="D45" s="187"/>
      <c r="E45" s="199"/>
      <c r="F45" s="73"/>
      <c r="G45" s="436"/>
      <c r="H45" s="437"/>
    </row>
    <row r="46" spans="1:8" ht="16.5" x14ac:dyDescent="0.3">
      <c r="A46" s="105"/>
      <c r="B46" s="67"/>
      <c r="C46" s="73"/>
      <c r="D46" s="187"/>
      <c r="E46" s="199"/>
      <c r="F46" s="73"/>
      <c r="G46" s="436"/>
      <c r="H46" s="437"/>
    </row>
    <row r="47" spans="1:8" ht="16.5" x14ac:dyDescent="0.3">
      <c r="A47" s="105">
        <v>12</v>
      </c>
      <c r="B47" s="67" t="s">
        <v>111</v>
      </c>
      <c r="C47" s="73"/>
      <c r="D47" s="187"/>
      <c r="E47" s="199"/>
      <c r="F47" s="73"/>
      <c r="G47" s="436"/>
      <c r="H47" s="199"/>
    </row>
    <row r="48" spans="1:8" ht="16.5" x14ac:dyDescent="0.3">
      <c r="A48" s="105"/>
      <c r="B48" s="67"/>
      <c r="C48" s="73"/>
      <c r="D48" s="201"/>
      <c r="E48" s="202"/>
      <c r="F48" s="73"/>
      <c r="G48" s="438"/>
      <c r="H48" s="202"/>
    </row>
    <row r="49" spans="1:8" ht="16.5" x14ac:dyDescent="0.3">
      <c r="A49" s="106"/>
      <c r="B49" s="121" t="s">
        <v>38</v>
      </c>
      <c r="C49" s="70"/>
      <c r="D49" s="200"/>
      <c r="E49" s="203">
        <f>SUM(E10:E48)</f>
        <v>13989350</v>
      </c>
      <c r="F49" s="70"/>
      <c r="G49" s="439"/>
      <c r="H49" s="203">
        <f>SUM(H10:H48)</f>
        <v>19670000</v>
      </c>
    </row>
    <row r="50" spans="1:8" ht="16.5" x14ac:dyDescent="0.3">
      <c r="A50" s="77"/>
      <c r="B50" s="63"/>
      <c r="C50" s="63"/>
      <c r="D50" s="63"/>
      <c r="E50" s="63"/>
      <c r="H50" s="441"/>
    </row>
    <row r="51" spans="1:8" ht="16.5" x14ac:dyDescent="0.3">
      <c r="A51" s="77"/>
      <c r="B51" s="63"/>
      <c r="C51" s="63"/>
      <c r="D51" s="63"/>
      <c r="E51" s="63"/>
      <c r="H51" s="441"/>
    </row>
    <row r="52" spans="1:8" ht="16.5" x14ac:dyDescent="0.3">
      <c r="A52" s="77"/>
      <c r="B52" s="63"/>
      <c r="C52" s="63"/>
      <c r="D52" s="63"/>
      <c r="E52" s="63"/>
    </row>
    <row r="53" spans="1:8" ht="16.5" x14ac:dyDescent="0.3">
      <c r="A53" s="350" t="s">
        <v>678</v>
      </c>
      <c r="F53" s="114"/>
      <c r="G53" s="63"/>
      <c r="H53" s="351" t="s">
        <v>606</v>
      </c>
    </row>
    <row r="54" spans="1:8" ht="16.5" x14ac:dyDescent="0.3">
      <c r="A54" s="114" t="s">
        <v>679</v>
      </c>
      <c r="F54" s="114"/>
      <c r="G54" s="63"/>
      <c r="H54" s="352" t="s">
        <v>604</v>
      </c>
    </row>
    <row r="59" spans="1:8" ht="15" x14ac:dyDescent="0.25">
      <c r="A59" s="350" t="s">
        <v>650</v>
      </c>
      <c r="B59" s="7"/>
      <c r="C59" s="17"/>
    </row>
    <row r="60" spans="1:8" ht="15" x14ac:dyDescent="0.25">
      <c r="A60" s="114" t="s">
        <v>480</v>
      </c>
      <c r="B60" s="7"/>
      <c r="C60" s="17"/>
      <c r="H60" s="449" t="s">
        <v>605</v>
      </c>
    </row>
    <row r="61" spans="1:8" ht="15" x14ac:dyDescent="0.25">
      <c r="H61" s="449"/>
    </row>
    <row r="62" spans="1:8" ht="15" x14ac:dyDescent="0.25">
      <c r="H62" s="449"/>
    </row>
    <row r="63" spans="1:8" ht="15" x14ac:dyDescent="0.25">
      <c r="H63" s="449"/>
    </row>
    <row r="64" spans="1:8" ht="15.75" x14ac:dyDescent="0.3">
      <c r="A64" s="34" t="s">
        <v>410</v>
      </c>
      <c r="H64" s="450"/>
    </row>
    <row r="65" spans="1:8" ht="15.75" x14ac:dyDescent="0.3">
      <c r="A65" s="255" t="s">
        <v>677</v>
      </c>
      <c r="H65" s="450"/>
    </row>
  </sheetData>
  <mergeCells count="6">
    <mergeCell ref="F5:H5"/>
    <mergeCell ref="C5:E5"/>
    <mergeCell ref="A1:H1"/>
    <mergeCell ref="A3:H3"/>
    <mergeCell ref="A5:A8"/>
    <mergeCell ref="B5:B8"/>
  </mergeCells>
  <phoneticPr fontId="0" type="noConversion"/>
  <printOptions horizontalCentered="1" verticalCentered="1"/>
  <pageMargins left="0" right="0.27" top="0.22" bottom="0.92" header="0.55000000000000004" footer="0.511811023622047"/>
  <pageSetup paperSize="9" scale="72" orientation="portrait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topLeftCell="A25" zoomScaleNormal="75" workbookViewId="0">
      <selection sqref="A1:D41"/>
    </sheetView>
  </sheetViews>
  <sheetFormatPr defaultRowHeight="14.25" x14ac:dyDescent="0.2"/>
  <cols>
    <col min="1" max="1" width="6.875" style="4" customWidth="1"/>
    <col min="2" max="2" width="36.875" style="4" customWidth="1"/>
    <col min="3" max="3" width="15.25" style="4" customWidth="1"/>
    <col min="4" max="4" width="19.625" style="4" customWidth="1"/>
    <col min="5" max="5" width="14.375" style="4" customWidth="1"/>
    <col min="6" max="16384" width="9" style="4"/>
  </cols>
  <sheetData>
    <row r="1" spans="1:4" ht="21.75" customHeight="1" x14ac:dyDescent="0.3">
      <c r="A1" s="517" t="s">
        <v>360</v>
      </c>
      <c r="B1" s="517"/>
      <c r="C1" s="517"/>
      <c r="D1" s="517"/>
    </row>
    <row r="2" spans="1:4" ht="21.75" customHeight="1" x14ac:dyDescent="0.3">
      <c r="A2" s="217"/>
      <c r="B2" s="217"/>
      <c r="C2" s="217"/>
      <c r="D2" s="217"/>
    </row>
    <row r="3" spans="1:4" ht="20.25" customHeight="1" x14ac:dyDescent="0.3">
      <c r="A3" s="518" t="s">
        <v>9</v>
      </c>
      <c r="B3" s="518"/>
      <c r="C3" s="518"/>
      <c r="D3" s="518"/>
    </row>
    <row r="4" spans="1:4" ht="20.25" customHeight="1" x14ac:dyDescent="0.3">
      <c r="A4" s="244"/>
      <c r="B4" s="244"/>
      <c r="C4" s="244"/>
      <c r="D4" s="244"/>
    </row>
    <row r="5" spans="1:4" ht="15" customHeight="1" x14ac:dyDescent="0.2">
      <c r="A5" s="527" t="s">
        <v>253</v>
      </c>
      <c r="B5" s="527" t="s">
        <v>3</v>
      </c>
      <c r="C5" s="391" t="s">
        <v>623</v>
      </c>
      <c r="D5" s="391" t="s">
        <v>623</v>
      </c>
    </row>
    <row r="6" spans="1:4" ht="28.5" customHeight="1" x14ac:dyDescent="0.2">
      <c r="A6" s="511"/>
      <c r="B6" s="511"/>
      <c r="C6" s="395" t="s">
        <v>590</v>
      </c>
      <c r="D6" s="396" t="s">
        <v>592</v>
      </c>
    </row>
    <row r="7" spans="1:4" ht="15" customHeight="1" x14ac:dyDescent="0.25">
      <c r="A7" s="430"/>
      <c r="B7" s="431"/>
      <c r="C7" s="431"/>
      <c r="D7" s="431"/>
    </row>
    <row r="8" spans="1:4" ht="15" customHeight="1" x14ac:dyDescent="0.3">
      <c r="A8" s="193">
        <v>1</v>
      </c>
      <c r="B8" s="432" t="s">
        <v>10</v>
      </c>
      <c r="C8" s="123">
        <f>+'[1]Balacnesheet P&amp;L'!$D$95</f>
        <v>1500074</v>
      </c>
      <c r="D8" s="123">
        <v>1273000</v>
      </c>
    </row>
    <row r="9" spans="1:4" ht="15" customHeight="1" x14ac:dyDescent="0.3">
      <c r="A9" s="193">
        <v>2</v>
      </c>
      <c r="B9" s="432" t="s">
        <v>361</v>
      </c>
      <c r="C9" s="123"/>
      <c r="D9" s="123"/>
    </row>
    <row r="10" spans="1:4" ht="15" customHeight="1" x14ac:dyDescent="0.3">
      <c r="A10" s="193">
        <v>3</v>
      </c>
      <c r="B10" s="432" t="s">
        <v>362</v>
      </c>
      <c r="C10" s="204"/>
      <c r="D10" s="123"/>
    </row>
    <row r="11" spans="1:4" ht="15" customHeight="1" x14ac:dyDescent="0.3">
      <c r="A11" s="433">
        <v>4</v>
      </c>
      <c r="B11" s="432" t="s">
        <v>363</v>
      </c>
      <c r="C11" s="204"/>
      <c r="D11" s="123"/>
    </row>
    <row r="12" spans="1:4" ht="15" customHeight="1" x14ac:dyDescent="0.3">
      <c r="A12" s="433">
        <v>5</v>
      </c>
      <c r="B12" s="432" t="s">
        <v>364</v>
      </c>
      <c r="C12" s="204"/>
      <c r="D12" s="123"/>
    </row>
    <row r="13" spans="1:4" ht="15" customHeight="1" x14ac:dyDescent="0.3">
      <c r="A13" s="433">
        <v>6</v>
      </c>
      <c r="B13" s="434" t="s">
        <v>365</v>
      </c>
      <c r="C13" s="125">
        <f>SUM(C8:C12)</f>
        <v>1500074</v>
      </c>
      <c r="D13" s="125">
        <f>SUM(D8:D12)</f>
        <v>1273000</v>
      </c>
    </row>
    <row r="14" spans="1:4" ht="15" customHeight="1" x14ac:dyDescent="0.3">
      <c r="A14" s="433">
        <v>7</v>
      </c>
      <c r="B14" s="432" t="s">
        <v>366</v>
      </c>
      <c r="C14" s="204"/>
      <c r="D14" s="123"/>
    </row>
    <row r="15" spans="1:4" ht="15" customHeight="1" x14ac:dyDescent="0.3">
      <c r="A15" s="433">
        <v>8</v>
      </c>
      <c r="B15" s="432" t="s">
        <v>367</v>
      </c>
      <c r="C15" s="204"/>
      <c r="D15" s="123"/>
    </row>
    <row r="16" spans="1:4" ht="15" customHeight="1" x14ac:dyDescent="0.3">
      <c r="A16" s="433">
        <v>9</v>
      </c>
      <c r="B16" s="432" t="s">
        <v>368</v>
      </c>
      <c r="C16" s="204"/>
      <c r="D16" s="123"/>
    </row>
    <row r="17" spans="1:4" ht="15" customHeight="1" x14ac:dyDescent="0.3">
      <c r="A17" s="433">
        <v>10</v>
      </c>
      <c r="B17" s="432" t="s">
        <v>369</v>
      </c>
      <c r="C17" s="204"/>
      <c r="D17" s="123"/>
    </row>
    <row r="18" spans="1:4" ht="15" customHeight="1" x14ac:dyDescent="0.3">
      <c r="A18" s="433">
        <v>11</v>
      </c>
      <c r="B18" s="432" t="s">
        <v>370</v>
      </c>
      <c r="C18" s="204"/>
      <c r="D18" s="123"/>
    </row>
    <row r="19" spans="1:4" ht="15" customHeight="1" x14ac:dyDescent="0.3">
      <c r="A19" s="433">
        <v>12</v>
      </c>
      <c r="B19" s="434" t="s">
        <v>371</v>
      </c>
      <c r="C19" s="125">
        <f>SUM(C14:C18)</f>
        <v>0</v>
      </c>
      <c r="D19" s="125">
        <f>SUM(D14:D18)</f>
        <v>0</v>
      </c>
    </row>
    <row r="20" spans="1:4" ht="15" customHeight="1" x14ac:dyDescent="0.3">
      <c r="A20" s="433">
        <v>13</v>
      </c>
      <c r="B20" s="432" t="s">
        <v>372</v>
      </c>
      <c r="C20" s="204">
        <f>+'[1]Balacnesheet P&amp;L'!$D$106</f>
        <v>727689</v>
      </c>
      <c r="D20" s="204">
        <v>454000</v>
      </c>
    </row>
    <row r="21" spans="1:4" ht="15" customHeight="1" x14ac:dyDescent="0.3">
      <c r="A21" s="433">
        <v>14</v>
      </c>
      <c r="B21" s="432" t="s">
        <v>373</v>
      </c>
      <c r="C21" s="204">
        <v>0</v>
      </c>
      <c r="D21" s="123"/>
    </row>
    <row r="22" spans="1:4" ht="15" customHeight="1" x14ac:dyDescent="0.3">
      <c r="A22" s="433">
        <v>15</v>
      </c>
      <c r="B22" s="139" t="s">
        <v>374</v>
      </c>
      <c r="C22" s="125">
        <f>SUM(C20:C21)</f>
        <v>727689</v>
      </c>
      <c r="D22" s="125">
        <f>SUM(D20:D21)</f>
        <v>454000</v>
      </c>
    </row>
    <row r="23" spans="1:4" ht="15" customHeight="1" x14ac:dyDescent="0.3">
      <c r="A23" s="433">
        <v>16</v>
      </c>
      <c r="B23" s="139" t="s">
        <v>76</v>
      </c>
      <c r="C23" s="125">
        <f>C13+C19+C22</f>
        <v>2227763</v>
      </c>
      <c r="D23" s="125">
        <f>D13+D19+D22</f>
        <v>1727000</v>
      </c>
    </row>
    <row r="24" spans="1:4" ht="15" customHeight="1" x14ac:dyDescent="0.3">
      <c r="A24" s="131"/>
      <c r="B24" s="69"/>
      <c r="C24" s="69"/>
      <c r="D24" s="69"/>
    </row>
    <row r="25" spans="1:4" ht="15" customHeight="1" x14ac:dyDescent="0.3">
      <c r="A25" s="73"/>
      <c r="B25" s="73"/>
      <c r="C25" s="73"/>
      <c r="D25" s="73"/>
    </row>
    <row r="26" spans="1:4" ht="16.5" x14ac:dyDescent="0.3">
      <c r="A26" s="73"/>
      <c r="B26" s="73"/>
      <c r="C26" s="73"/>
      <c r="D26" s="73"/>
    </row>
    <row r="27" spans="1:4" ht="16.5" x14ac:dyDescent="0.3">
      <c r="A27" s="73"/>
      <c r="B27" s="73"/>
      <c r="C27" s="73"/>
      <c r="D27" s="73"/>
    </row>
    <row r="28" spans="1:4" ht="15" x14ac:dyDescent="0.25">
      <c r="A28" s="350" t="s">
        <v>678</v>
      </c>
      <c r="C28" s="114"/>
      <c r="D28" s="351" t="s">
        <v>606</v>
      </c>
    </row>
    <row r="29" spans="1:4" ht="15" x14ac:dyDescent="0.25">
      <c r="A29" s="114" t="s">
        <v>679</v>
      </c>
      <c r="C29" s="114"/>
      <c r="D29" s="352" t="s">
        <v>604</v>
      </c>
    </row>
    <row r="35" spans="1:10" ht="15" x14ac:dyDescent="0.25">
      <c r="A35" s="350" t="s">
        <v>650</v>
      </c>
      <c r="B35" s="7"/>
      <c r="C35" s="17"/>
      <c r="D35"/>
      <c r="E35"/>
      <c r="F35"/>
      <c r="G35"/>
      <c r="H35"/>
      <c r="I35"/>
      <c r="J35"/>
    </row>
    <row r="36" spans="1:10" ht="15" x14ac:dyDescent="0.25">
      <c r="A36" s="114" t="s">
        <v>480</v>
      </c>
      <c r="B36" s="7"/>
      <c r="C36" s="17"/>
      <c r="D36" s="449" t="s">
        <v>605</v>
      </c>
      <c r="E36"/>
      <c r="F36"/>
      <c r="G36"/>
      <c r="H36"/>
      <c r="I36"/>
      <c r="J36"/>
    </row>
    <row r="37" spans="1:10" ht="15" x14ac:dyDescent="0.25">
      <c r="C37"/>
      <c r="D37" s="449"/>
    </row>
    <row r="38" spans="1:10" ht="15" x14ac:dyDescent="0.25">
      <c r="C38"/>
      <c r="D38" s="449"/>
    </row>
    <row r="39" spans="1:10" ht="15" x14ac:dyDescent="0.25">
      <c r="C39"/>
      <c r="D39" s="449"/>
    </row>
    <row r="40" spans="1:10" ht="15.75" x14ac:dyDescent="0.3">
      <c r="A40" s="34" t="s">
        <v>410</v>
      </c>
      <c r="C40"/>
      <c r="D40" s="450"/>
    </row>
    <row r="41" spans="1:10" ht="15.75" x14ac:dyDescent="0.3">
      <c r="A41" s="255" t="s">
        <v>677</v>
      </c>
      <c r="D41" s="450"/>
    </row>
  </sheetData>
  <mergeCells count="4">
    <mergeCell ref="A1:D1"/>
    <mergeCell ref="A3:D3"/>
    <mergeCell ref="A5:A6"/>
    <mergeCell ref="B5:B6"/>
  </mergeCells>
  <phoneticPr fontId="0" type="noConversion"/>
  <printOptions horizontalCentered="1" verticalCentered="1"/>
  <pageMargins left="0.78" right="0.56999999999999995" top="0" bottom="1.5748031496063" header="0.53" footer="0.511811023622047"/>
  <pageSetup paperSize="9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topLeftCell="A28" zoomScaleNormal="100" workbookViewId="0">
      <selection sqref="A1:M42"/>
    </sheetView>
  </sheetViews>
  <sheetFormatPr defaultRowHeight="14.25" x14ac:dyDescent="0.2"/>
  <cols>
    <col min="1" max="1" width="6.375" customWidth="1"/>
    <col min="2" max="2" width="42" customWidth="1"/>
    <col min="3" max="3" width="10.875" customWidth="1"/>
    <col min="4" max="4" width="6.125" customWidth="1"/>
    <col min="5" max="5" width="5.375" customWidth="1"/>
    <col min="6" max="7" width="5.375" hidden="1" customWidth="1"/>
    <col min="8" max="8" width="5.75" hidden="1" customWidth="1"/>
    <col min="9" max="9" width="6.125" customWidth="1"/>
    <col min="10" max="10" width="6" customWidth="1"/>
    <col min="11" max="11" width="6.5" customWidth="1"/>
  </cols>
  <sheetData>
    <row r="1" spans="1:11" ht="18.75" x14ac:dyDescent="0.3">
      <c r="A1" s="555" t="s">
        <v>393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</row>
    <row r="2" spans="1:11" ht="18.75" x14ac:dyDescent="0.3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1" ht="16.5" x14ac:dyDescent="0.3">
      <c r="A3" s="556" t="s">
        <v>394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</row>
    <row r="4" spans="1:11" ht="16.5" customHeight="1" x14ac:dyDescent="0.25">
      <c r="A4" s="557" t="s">
        <v>395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</row>
    <row r="5" spans="1:11" ht="30" customHeight="1" x14ac:dyDescent="0.3">
      <c r="A5" s="135" t="s">
        <v>285</v>
      </c>
      <c r="B5" s="191" t="s">
        <v>396</v>
      </c>
      <c r="C5" s="552" t="s">
        <v>657</v>
      </c>
      <c r="D5" s="553"/>
      <c r="E5" s="554"/>
      <c r="F5" s="63"/>
      <c r="G5" s="63"/>
      <c r="H5" s="63"/>
      <c r="I5" s="552" t="s">
        <v>653</v>
      </c>
      <c r="J5" s="553"/>
      <c r="K5" s="554"/>
    </row>
    <row r="6" spans="1:11" ht="63" x14ac:dyDescent="0.3">
      <c r="A6" s="193"/>
      <c r="B6" s="67"/>
      <c r="C6" s="196" t="s">
        <v>397</v>
      </c>
      <c r="D6" s="197" t="s">
        <v>398</v>
      </c>
      <c r="E6" s="197" t="s">
        <v>399</v>
      </c>
      <c r="F6" s="63"/>
      <c r="G6" s="63"/>
      <c r="H6" s="63"/>
      <c r="I6" s="196" t="s">
        <v>397</v>
      </c>
      <c r="J6" s="197" t="s">
        <v>398</v>
      </c>
      <c r="K6" s="197" t="s">
        <v>399</v>
      </c>
    </row>
    <row r="7" spans="1:11" ht="16.5" x14ac:dyDescent="0.3">
      <c r="A7" s="193">
        <v>1</v>
      </c>
      <c r="B7" s="67" t="s">
        <v>400</v>
      </c>
      <c r="C7" s="73"/>
      <c r="D7" s="67"/>
      <c r="E7" s="67"/>
      <c r="F7" s="63"/>
      <c r="G7" s="63"/>
      <c r="H7" s="63"/>
      <c r="I7" s="73"/>
      <c r="J7" s="67"/>
      <c r="K7" s="67"/>
    </row>
    <row r="8" spans="1:11" ht="16.5" x14ac:dyDescent="0.3">
      <c r="A8" s="193">
        <v>2</v>
      </c>
      <c r="B8" s="67" t="s">
        <v>401</v>
      </c>
      <c r="C8" s="73"/>
      <c r="D8" s="67"/>
      <c r="E8" s="67"/>
      <c r="F8" s="63"/>
      <c r="G8" s="63"/>
      <c r="H8" s="63"/>
      <c r="I8" s="73"/>
      <c r="J8" s="67"/>
      <c r="K8" s="67"/>
    </row>
    <row r="9" spans="1:11" ht="16.5" x14ac:dyDescent="0.3">
      <c r="A9" s="193">
        <v>3</v>
      </c>
      <c r="B9" s="67" t="s">
        <v>402</v>
      </c>
      <c r="C9" s="73"/>
      <c r="D9" s="67"/>
      <c r="E9" s="67"/>
      <c r="F9" s="63"/>
      <c r="G9" s="63"/>
      <c r="H9" s="63"/>
      <c r="I9" s="73"/>
      <c r="J9" s="67"/>
      <c r="K9" s="67"/>
    </row>
    <row r="10" spans="1:11" ht="16.5" x14ac:dyDescent="0.3">
      <c r="A10" s="193">
        <v>4</v>
      </c>
      <c r="B10" s="67" t="s">
        <v>403</v>
      </c>
      <c r="C10" s="73"/>
      <c r="D10" s="67"/>
      <c r="E10" s="67"/>
      <c r="F10" s="63"/>
      <c r="G10" s="63"/>
      <c r="H10" s="63"/>
      <c r="I10" s="73"/>
      <c r="J10" s="67"/>
      <c r="K10" s="67"/>
    </row>
    <row r="11" spans="1:11" ht="16.5" x14ac:dyDescent="0.3">
      <c r="A11" s="193">
        <v>5</v>
      </c>
      <c r="B11" s="67" t="s">
        <v>404</v>
      </c>
      <c r="C11" s="73"/>
      <c r="D11" s="67"/>
      <c r="E11" s="67"/>
      <c r="F11" s="63"/>
      <c r="G11" s="63"/>
      <c r="H11" s="63"/>
      <c r="I11" s="73"/>
      <c r="J11" s="67"/>
      <c r="K11" s="67"/>
    </row>
    <row r="12" spans="1:11" ht="16.5" x14ac:dyDescent="0.3">
      <c r="A12" s="193">
        <v>6</v>
      </c>
      <c r="B12" s="67" t="s">
        <v>405</v>
      </c>
      <c r="C12" s="73"/>
      <c r="D12" s="67"/>
      <c r="E12" s="67"/>
      <c r="F12" s="63"/>
      <c r="G12" s="63"/>
      <c r="H12" s="63"/>
      <c r="I12" s="73"/>
      <c r="J12" s="67"/>
      <c r="K12" s="67"/>
    </row>
    <row r="13" spans="1:11" ht="16.5" x14ac:dyDescent="0.3">
      <c r="A13" s="193">
        <v>7</v>
      </c>
      <c r="B13" s="67" t="s">
        <v>406</v>
      </c>
      <c r="C13" s="73"/>
      <c r="D13" s="67"/>
      <c r="E13" s="67"/>
      <c r="F13" s="63"/>
      <c r="G13" s="63"/>
      <c r="H13" s="63"/>
      <c r="I13" s="73"/>
      <c r="J13" s="67"/>
      <c r="K13" s="67"/>
    </row>
    <row r="14" spans="1:11" ht="16.5" x14ac:dyDescent="0.3">
      <c r="A14" s="193">
        <v>8</v>
      </c>
      <c r="B14" s="67" t="s">
        <v>407</v>
      </c>
      <c r="C14" s="73"/>
      <c r="D14" s="67"/>
      <c r="E14" s="67"/>
      <c r="F14" s="63"/>
      <c r="G14" s="63"/>
      <c r="H14" s="63"/>
      <c r="I14" s="73"/>
      <c r="J14" s="67"/>
      <c r="K14" s="67"/>
    </row>
    <row r="15" spans="1:11" ht="16.5" x14ac:dyDescent="0.3">
      <c r="A15" s="193">
        <v>9</v>
      </c>
      <c r="B15" s="67" t="s">
        <v>408</v>
      </c>
      <c r="C15" s="73"/>
      <c r="D15" s="67"/>
      <c r="E15" s="67"/>
      <c r="F15" s="63"/>
      <c r="G15" s="63"/>
      <c r="H15" s="63"/>
      <c r="I15" s="73"/>
      <c r="J15" s="67"/>
      <c r="K15" s="67"/>
    </row>
    <row r="16" spans="1:11" ht="16.5" x14ac:dyDescent="0.3">
      <c r="A16" s="194"/>
      <c r="B16" s="69"/>
      <c r="C16" s="70"/>
      <c r="D16" s="69"/>
      <c r="E16" s="69"/>
      <c r="F16" s="63"/>
      <c r="G16" s="63"/>
      <c r="H16" s="63"/>
      <c r="I16" s="70"/>
      <c r="J16" s="69"/>
      <c r="K16" s="69"/>
    </row>
    <row r="17" spans="1:11" ht="16.5" x14ac:dyDescent="0.3">
      <c r="A17" s="63"/>
      <c r="B17" s="451" t="s">
        <v>409</v>
      </c>
      <c r="C17" s="451"/>
      <c r="D17" s="63"/>
      <c r="E17" s="63"/>
      <c r="F17" s="63"/>
      <c r="G17" s="63"/>
      <c r="H17" s="63"/>
      <c r="I17" s="63"/>
    </row>
    <row r="18" spans="1:11" ht="16.5" x14ac:dyDescent="0.3">
      <c r="A18" s="63"/>
      <c r="B18" s="466" t="s">
        <v>411</v>
      </c>
      <c r="C18" s="467">
        <v>1</v>
      </c>
      <c r="D18" s="63" t="s">
        <v>613</v>
      </c>
      <c r="E18" s="63"/>
      <c r="F18" s="63"/>
      <c r="G18" s="63"/>
      <c r="H18" s="63"/>
      <c r="I18" s="63"/>
    </row>
    <row r="19" spans="1:11" ht="16.5" x14ac:dyDescent="0.3">
      <c r="A19" s="63"/>
      <c r="B19" s="466" t="s">
        <v>614</v>
      </c>
      <c r="C19" s="467">
        <v>1</v>
      </c>
      <c r="D19" s="63" t="s">
        <v>613</v>
      </c>
      <c r="E19" s="63"/>
      <c r="F19" s="63"/>
      <c r="G19" s="63"/>
      <c r="H19" s="63"/>
      <c r="I19" s="63"/>
    </row>
    <row r="20" spans="1:11" ht="16.5" x14ac:dyDescent="0.3">
      <c r="A20" s="63"/>
      <c r="B20" s="466" t="s">
        <v>412</v>
      </c>
      <c r="C20" s="467">
        <v>2</v>
      </c>
      <c r="D20" s="63" t="s">
        <v>613</v>
      </c>
      <c r="E20" s="63"/>
      <c r="F20" s="63"/>
      <c r="G20" s="63"/>
      <c r="H20" s="63"/>
      <c r="I20" s="63"/>
    </row>
    <row r="21" spans="1:11" ht="16.5" x14ac:dyDescent="0.3">
      <c r="A21" s="63"/>
      <c r="B21" s="466" t="s">
        <v>413</v>
      </c>
      <c r="C21" s="467">
        <v>1</v>
      </c>
      <c r="D21" s="63" t="s">
        <v>613</v>
      </c>
      <c r="E21" s="63"/>
      <c r="F21" s="63"/>
      <c r="G21" s="63"/>
      <c r="H21" s="63"/>
      <c r="I21" s="63"/>
    </row>
    <row r="22" spans="1:11" ht="16.5" x14ac:dyDescent="0.3">
      <c r="A22" s="63"/>
      <c r="B22" s="466" t="s">
        <v>414</v>
      </c>
      <c r="C22" s="467">
        <v>1</v>
      </c>
      <c r="D22" s="63" t="s">
        <v>613</v>
      </c>
      <c r="E22" s="63"/>
      <c r="F22" s="63"/>
      <c r="G22" s="63"/>
      <c r="H22" s="63"/>
      <c r="I22" s="63"/>
    </row>
    <row r="23" spans="1:11" ht="16.5" x14ac:dyDescent="0.3">
      <c r="A23" s="63"/>
      <c r="B23" s="466" t="s">
        <v>415</v>
      </c>
      <c r="C23" s="467">
        <v>1</v>
      </c>
      <c r="D23" s="468" t="s">
        <v>615</v>
      </c>
      <c r="E23" s="63"/>
      <c r="F23" s="63"/>
      <c r="G23" s="63"/>
      <c r="H23" s="63"/>
      <c r="I23" s="63"/>
    </row>
    <row r="24" spans="1:11" ht="16.5" x14ac:dyDescent="0.3">
      <c r="A24" s="195"/>
      <c r="B24" s="466" t="s">
        <v>416</v>
      </c>
      <c r="C24" s="467">
        <v>52</v>
      </c>
      <c r="D24" s="468" t="s">
        <v>616</v>
      </c>
      <c r="E24" s="63"/>
      <c r="F24" s="63"/>
      <c r="G24" s="63"/>
      <c r="H24" s="63"/>
      <c r="I24" s="63"/>
    </row>
    <row r="25" spans="1:11" ht="16.5" x14ac:dyDescent="0.3">
      <c r="A25" s="195"/>
      <c r="B25" s="469" t="s">
        <v>38</v>
      </c>
      <c r="C25" s="339" t="s">
        <v>617</v>
      </c>
      <c r="D25" s="63"/>
      <c r="E25" s="63"/>
      <c r="F25" s="63"/>
      <c r="G25" s="63"/>
      <c r="H25" s="63"/>
      <c r="I25" s="63"/>
    </row>
    <row r="26" spans="1:11" ht="16.5" x14ac:dyDescent="0.3">
      <c r="A26" s="195"/>
      <c r="B26" s="63"/>
      <c r="C26" s="63"/>
      <c r="D26" s="63"/>
      <c r="E26" s="63"/>
      <c r="F26" s="63"/>
      <c r="G26" s="63"/>
      <c r="H26" s="63"/>
      <c r="I26" s="63"/>
    </row>
    <row r="27" spans="1:11" ht="16.5" x14ac:dyDescent="0.3">
      <c r="A27" s="195"/>
      <c r="B27" s="63"/>
      <c r="C27" s="63"/>
      <c r="D27" s="63"/>
      <c r="E27" s="63"/>
      <c r="F27" s="63"/>
      <c r="G27" s="63"/>
      <c r="H27" s="63"/>
      <c r="I27" s="63"/>
    </row>
    <row r="28" spans="1:11" ht="16.5" x14ac:dyDescent="0.3">
      <c r="A28" s="63"/>
      <c r="B28" s="63"/>
      <c r="C28" s="63"/>
      <c r="D28" s="63"/>
      <c r="E28" s="63"/>
      <c r="F28" s="63"/>
      <c r="G28" s="63"/>
      <c r="H28" s="63"/>
      <c r="I28" s="63"/>
    </row>
    <row r="29" spans="1:11" ht="16.5" x14ac:dyDescent="0.3">
      <c r="A29" s="63"/>
      <c r="B29" s="63"/>
      <c r="C29" s="63"/>
      <c r="D29" s="63"/>
      <c r="E29" s="63"/>
      <c r="F29" s="63"/>
      <c r="G29" s="63"/>
      <c r="H29" s="63"/>
      <c r="I29" s="63"/>
    </row>
    <row r="30" spans="1:11" ht="16.5" x14ac:dyDescent="0.3">
      <c r="A30" s="350" t="s">
        <v>678</v>
      </c>
      <c r="C30" s="82"/>
      <c r="D30" s="63"/>
      <c r="E30" s="353"/>
      <c r="F30" s="63"/>
      <c r="G30" s="82"/>
      <c r="H30" s="63"/>
      <c r="I30" s="353"/>
      <c r="K30" s="351" t="s">
        <v>606</v>
      </c>
    </row>
    <row r="31" spans="1:11" ht="16.5" x14ac:dyDescent="0.3">
      <c r="A31" s="114" t="s">
        <v>679</v>
      </c>
      <c r="C31" s="114"/>
      <c r="D31" s="63"/>
      <c r="E31" s="354"/>
      <c r="F31" s="63"/>
      <c r="G31" s="82"/>
      <c r="H31" s="63"/>
      <c r="I31" s="354"/>
      <c r="K31" s="352" t="s">
        <v>604</v>
      </c>
    </row>
    <row r="36" spans="1:11" ht="15" x14ac:dyDescent="0.25">
      <c r="A36" s="350" t="s">
        <v>650</v>
      </c>
      <c r="B36" s="7"/>
      <c r="C36" s="17"/>
    </row>
    <row r="37" spans="1:11" ht="15" x14ac:dyDescent="0.25">
      <c r="A37" s="114" t="s">
        <v>480</v>
      </c>
      <c r="B37" s="7"/>
      <c r="C37" s="17"/>
      <c r="K37" s="449" t="s">
        <v>605</v>
      </c>
    </row>
    <row r="38" spans="1:11" ht="16.5" x14ac:dyDescent="0.3">
      <c r="I38" s="63"/>
      <c r="K38" s="449"/>
    </row>
    <row r="39" spans="1:11" ht="15" x14ac:dyDescent="0.25">
      <c r="I39" s="1"/>
      <c r="K39" s="449"/>
    </row>
    <row r="40" spans="1:11" ht="15" x14ac:dyDescent="0.25">
      <c r="I40" s="1"/>
      <c r="K40" s="449"/>
    </row>
    <row r="41" spans="1:11" ht="15.75" x14ac:dyDescent="0.3">
      <c r="A41" s="34" t="s">
        <v>410</v>
      </c>
      <c r="I41" s="1"/>
      <c r="K41" s="450"/>
    </row>
    <row r="42" spans="1:11" ht="15.75" x14ac:dyDescent="0.3">
      <c r="A42" s="255" t="s">
        <v>677</v>
      </c>
      <c r="K42" s="450"/>
    </row>
  </sheetData>
  <mergeCells count="5">
    <mergeCell ref="I5:K5"/>
    <mergeCell ref="C5:E5"/>
    <mergeCell ref="A1:K1"/>
    <mergeCell ref="A3:K3"/>
    <mergeCell ref="A4:K4"/>
  </mergeCells>
  <phoneticPr fontId="6" type="noConversion"/>
  <pageMargins left="0.75" right="0.61" top="1" bottom="1" header="0.5" footer="0.5"/>
  <pageSetup scale="79" orientation="portrait" horizontalDpi="4294967292" r:id="rId1"/>
  <headerFooter alignWithMargins="0"/>
  <rowBreaks count="1" manualBreakCount="1">
    <brk id="44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view="pageBreakPreview" topLeftCell="A16" zoomScale="60" zoomScaleNormal="100" workbookViewId="0">
      <selection sqref="A1:D52"/>
    </sheetView>
  </sheetViews>
  <sheetFormatPr defaultRowHeight="14.25" x14ac:dyDescent="0.2"/>
  <cols>
    <col min="1" max="1" width="8.375" style="16" customWidth="1"/>
    <col min="2" max="2" width="34.625" customWidth="1"/>
    <col min="3" max="3" width="18.125" customWidth="1"/>
    <col min="4" max="4" width="16.875" style="442" customWidth="1"/>
    <col min="5" max="5" width="16.75" bestFit="1" customWidth="1"/>
    <col min="6" max="6" width="20.75" bestFit="1" customWidth="1"/>
    <col min="7" max="8" width="1" customWidth="1"/>
  </cols>
  <sheetData>
    <row r="1" spans="1:6" ht="20.25" x14ac:dyDescent="0.3">
      <c r="A1" s="508" t="s">
        <v>503</v>
      </c>
      <c r="B1" s="508"/>
      <c r="C1" s="508"/>
      <c r="D1" s="508"/>
      <c r="E1" s="76"/>
    </row>
    <row r="2" spans="1:6" ht="16.5" x14ac:dyDescent="0.3">
      <c r="A2" s="77"/>
      <c r="B2" s="63"/>
      <c r="C2" s="63"/>
      <c r="D2" s="78"/>
    </row>
    <row r="3" spans="1:6" ht="18.75" x14ac:dyDescent="0.3">
      <c r="A3" s="558" t="s">
        <v>11</v>
      </c>
      <c r="B3" s="558"/>
      <c r="C3" s="558"/>
      <c r="D3" s="558"/>
      <c r="E3" s="62"/>
    </row>
    <row r="4" spans="1:6" ht="16.5" x14ac:dyDescent="0.3">
      <c r="A4" s="77"/>
      <c r="B4" s="63"/>
      <c r="C4" s="63"/>
      <c r="D4" s="78"/>
    </row>
    <row r="5" spans="1:6" ht="15" x14ac:dyDescent="0.2">
      <c r="A5" s="510" t="s">
        <v>27</v>
      </c>
      <c r="B5" s="510" t="s">
        <v>112</v>
      </c>
      <c r="C5" s="391" t="s">
        <v>623</v>
      </c>
      <c r="D5" s="391" t="s">
        <v>623</v>
      </c>
      <c r="E5" t="s">
        <v>618</v>
      </c>
      <c r="F5" t="s">
        <v>620</v>
      </c>
    </row>
    <row r="6" spans="1:6" ht="30" x14ac:dyDescent="0.2">
      <c r="A6" s="511"/>
      <c r="B6" s="511"/>
      <c r="C6" s="395" t="s">
        <v>590</v>
      </c>
      <c r="D6" s="396" t="s">
        <v>592</v>
      </c>
      <c r="E6" t="s">
        <v>619</v>
      </c>
      <c r="F6" t="s">
        <v>621</v>
      </c>
    </row>
    <row r="7" spans="1:6" ht="16.5" x14ac:dyDescent="0.3">
      <c r="A7" s="336">
        <v>1</v>
      </c>
      <c r="B7" s="275" t="s">
        <v>113</v>
      </c>
      <c r="C7" s="122">
        <v>0</v>
      </c>
      <c r="D7" s="122">
        <v>0</v>
      </c>
    </row>
    <row r="8" spans="1:6" ht="16.5" x14ac:dyDescent="0.3">
      <c r="A8" s="193">
        <v>2</v>
      </c>
      <c r="B8" s="192" t="s">
        <v>114</v>
      </c>
      <c r="C8" s="204">
        <f>+'[1]Balacnesheet P&amp;L'!$D$105</f>
        <v>4333177</v>
      </c>
      <c r="D8" s="123">
        <v>1887000</v>
      </c>
      <c r="E8">
        <v>600000</v>
      </c>
      <c r="F8">
        <f>+E8*10%+E8</f>
        <v>660000</v>
      </c>
    </row>
    <row r="9" spans="1:6" ht="16.5" x14ac:dyDescent="0.3">
      <c r="A9" s="193">
        <v>3</v>
      </c>
      <c r="B9" s="192" t="s">
        <v>115</v>
      </c>
      <c r="C9" s="123">
        <f>+'[1]Balacnesheet P&amp;L'!$D$101</f>
        <v>146688</v>
      </c>
      <c r="D9" s="123">
        <v>304000</v>
      </c>
      <c r="E9">
        <v>100000</v>
      </c>
      <c r="F9">
        <f t="shared" ref="F9:F18" si="0">+E9*10%+E9</f>
        <v>110000</v>
      </c>
    </row>
    <row r="10" spans="1:6" ht="16.5" x14ac:dyDescent="0.3">
      <c r="A10" s="193">
        <v>4</v>
      </c>
      <c r="B10" s="192" t="s">
        <v>116</v>
      </c>
      <c r="C10" s="123">
        <f>+'[1]Balacnesheet P&amp;L'!$D$107</f>
        <v>52299</v>
      </c>
      <c r="D10" s="123">
        <v>150000</v>
      </c>
      <c r="E10">
        <v>215000</v>
      </c>
      <c r="F10">
        <f t="shared" si="0"/>
        <v>236500</v>
      </c>
    </row>
    <row r="11" spans="1:6" ht="16.5" x14ac:dyDescent="0.3">
      <c r="A11" s="193">
        <v>5</v>
      </c>
      <c r="B11" s="192" t="s">
        <v>117</v>
      </c>
      <c r="C11" s="123"/>
      <c r="D11" s="123">
        <v>0</v>
      </c>
    </row>
    <row r="12" spans="1:6" ht="16.5" x14ac:dyDescent="0.3">
      <c r="A12" s="193">
        <v>6</v>
      </c>
      <c r="B12" s="192" t="s">
        <v>597</v>
      </c>
      <c r="C12" s="123">
        <v>0</v>
      </c>
      <c r="D12" s="123">
        <v>50000</v>
      </c>
      <c r="E12">
        <v>75000</v>
      </c>
      <c r="F12">
        <f t="shared" si="0"/>
        <v>82500</v>
      </c>
    </row>
    <row r="13" spans="1:6" ht="16.5" x14ac:dyDescent="0.3">
      <c r="A13" s="193">
        <v>7</v>
      </c>
      <c r="B13" s="192" t="s">
        <v>118</v>
      </c>
      <c r="C13" s="123">
        <f>+'[1]Balacnesheet P&amp;L'!$D$97</f>
        <v>10000</v>
      </c>
      <c r="D13" s="123">
        <v>50000</v>
      </c>
      <c r="E13">
        <v>30000</v>
      </c>
      <c r="F13">
        <f t="shared" si="0"/>
        <v>33000</v>
      </c>
    </row>
    <row r="14" spans="1:6" ht="16.5" x14ac:dyDescent="0.3">
      <c r="A14" s="193">
        <v>8</v>
      </c>
      <c r="B14" s="192" t="s">
        <v>119</v>
      </c>
      <c r="C14" s="123">
        <f>+'[1]Balacnesheet P&amp;L'!$D$110</f>
        <v>56180</v>
      </c>
      <c r="D14" s="123">
        <v>175000</v>
      </c>
      <c r="E14">
        <v>300000</v>
      </c>
      <c r="F14">
        <f t="shared" si="0"/>
        <v>330000</v>
      </c>
    </row>
    <row r="15" spans="1:6" ht="16.5" x14ac:dyDescent="0.3">
      <c r="A15" s="193">
        <v>9</v>
      </c>
      <c r="B15" s="192" t="s">
        <v>596</v>
      </c>
      <c r="C15" s="123">
        <f>+'[1]Balacnesheet P&amp;L'!$D$104+'[1]Balacnesheet P&amp;L'!$D$100</f>
        <v>638312</v>
      </c>
      <c r="D15" s="123">
        <v>145000</v>
      </c>
      <c r="E15">
        <v>94000</v>
      </c>
      <c r="F15">
        <f t="shared" si="0"/>
        <v>103400</v>
      </c>
    </row>
    <row r="16" spans="1:6" ht="16.5" x14ac:dyDescent="0.3">
      <c r="A16" s="193">
        <v>10</v>
      </c>
      <c r="B16" s="192" t="s">
        <v>572</v>
      </c>
      <c r="C16" s="123">
        <f>+'[1]Balacnesheet P&amp;L'!$D$96</f>
        <v>2125320</v>
      </c>
      <c r="D16" s="123">
        <v>112000</v>
      </c>
      <c r="E16">
        <v>577000</v>
      </c>
      <c r="F16">
        <f t="shared" si="0"/>
        <v>634700</v>
      </c>
    </row>
    <row r="17" spans="1:6" ht="16.5" x14ac:dyDescent="0.3">
      <c r="A17" s="193">
        <v>11</v>
      </c>
      <c r="B17" s="192" t="s">
        <v>120</v>
      </c>
      <c r="C17" s="123"/>
      <c r="D17" s="123">
        <v>0</v>
      </c>
    </row>
    <row r="18" spans="1:6" ht="16.5" x14ac:dyDescent="0.3">
      <c r="A18" s="193">
        <v>12</v>
      </c>
      <c r="B18" s="192" t="s">
        <v>546</v>
      </c>
      <c r="C18" s="123">
        <f>+'[1]Balacnesheet P&amp;L'!$D$98</f>
        <v>525328</v>
      </c>
      <c r="D18" s="123">
        <v>645000</v>
      </c>
      <c r="E18">
        <v>533000</v>
      </c>
      <c r="F18">
        <f t="shared" si="0"/>
        <v>586300</v>
      </c>
    </row>
    <row r="19" spans="1:6" ht="16.5" x14ac:dyDescent="0.3">
      <c r="A19" s="193">
        <v>13</v>
      </c>
      <c r="B19" s="335" t="s">
        <v>121</v>
      </c>
      <c r="C19" s="125">
        <f>SUM(C7:C18)</f>
        <v>7887304</v>
      </c>
      <c r="D19" s="125">
        <f>SUM(D7:D18)</f>
        <v>3518000</v>
      </c>
      <c r="E19" s="125">
        <f t="shared" ref="E19:F19" si="1">SUM(E7:E18)</f>
        <v>2524000</v>
      </c>
      <c r="F19" s="125">
        <f t="shared" si="1"/>
        <v>2776400</v>
      </c>
    </row>
    <row r="20" spans="1:6" ht="16.5" x14ac:dyDescent="0.3">
      <c r="A20" s="193"/>
      <c r="B20" s="192"/>
      <c r="C20" s="67"/>
      <c r="D20" s="210"/>
    </row>
    <row r="21" spans="1:6" ht="16.5" x14ac:dyDescent="0.3">
      <c r="A21" s="193">
        <v>14</v>
      </c>
      <c r="B21" s="335" t="s">
        <v>122</v>
      </c>
      <c r="C21" s="67"/>
      <c r="D21" s="210"/>
    </row>
    <row r="22" spans="1:6" ht="16.5" x14ac:dyDescent="0.3">
      <c r="A22" s="193"/>
      <c r="B22" s="192" t="s">
        <v>123</v>
      </c>
      <c r="C22" s="123"/>
      <c r="D22" s="123"/>
    </row>
    <row r="23" spans="1:6" ht="16.5" x14ac:dyDescent="0.3">
      <c r="A23" s="193"/>
      <c r="B23" s="192" t="s">
        <v>124</v>
      </c>
      <c r="C23" s="123"/>
      <c r="D23" s="123"/>
    </row>
    <row r="24" spans="1:6" ht="16.5" x14ac:dyDescent="0.3">
      <c r="A24" s="193"/>
      <c r="B24" s="192" t="s">
        <v>125</v>
      </c>
      <c r="C24" s="123"/>
      <c r="D24" s="123"/>
    </row>
    <row r="25" spans="1:6" ht="16.5" x14ac:dyDescent="0.3">
      <c r="A25" s="193"/>
      <c r="B25" s="192" t="s">
        <v>126</v>
      </c>
      <c r="C25" s="123">
        <f>+'[1]Balacnesheet P&amp;L'!$D$109</f>
        <v>196248</v>
      </c>
      <c r="D25" s="123">
        <v>216000</v>
      </c>
      <c r="E25">
        <v>233000</v>
      </c>
      <c r="F25">
        <f t="shared" ref="F25:F28" si="2">+E25*10%+E25</f>
        <v>256300</v>
      </c>
    </row>
    <row r="26" spans="1:6" ht="16.5" x14ac:dyDescent="0.3">
      <c r="A26" s="193"/>
      <c r="B26" s="192" t="s">
        <v>127</v>
      </c>
      <c r="C26" s="123">
        <v>0</v>
      </c>
      <c r="D26" s="123">
        <v>0</v>
      </c>
      <c r="E26" s="123">
        <v>168000</v>
      </c>
      <c r="F26">
        <f t="shared" si="2"/>
        <v>184800</v>
      </c>
    </row>
    <row r="27" spans="1:6" ht="16.5" x14ac:dyDescent="0.3">
      <c r="A27" s="193"/>
      <c r="B27" s="192" t="s">
        <v>128</v>
      </c>
      <c r="C27" s="123"/>
      <c r="D27" s="123"/>
    </row>
    <row r="28" spans="1:6" ht="16.5" x14ac:dyDescent="0.3">
      <c r="A28" s="193"/>
      <c r="B28" s="192" t="s">
        <v>129</v>
      </c>
      <c r="C28" s="123">
        <f>+'[1]Balacnesheet P&amp;L'!$D$99</f>
        <v>1819618.18</v>
      </c>
      <c r="D28" s="123">
        <v>2403000</v>
      </c>
      <c r="E28">
        <v>1872000</v>
      </c>
      <c r="F28">
        <f t="shared" si="2"/>
        <v>2059200</v>
      </c>
    </row>
    <row r="29" spans="1:6" ht="16.5" x14ac:dyDescent="0.3">
      <c r="A29" s="193"/>
      <c r="B29" s="192" t="s">
        <v>130</v>
      </c>
      <c r="C29" s="123"/>
      <c r="D29" s="123"/>
    </row>
    <row r="30" spans="1:6" ht="16.5" x14ac:dyDescent="0.3">
      <c r="A30" s="193"/>
      <c r="B30" s="192" t="s">
        <v>131</v>
      </c>
      <c r="C30" s="123"/>
      <c r="D30" s="123"/>
    </row>
    <row r="31" spans="1:6" ht="16.5" x14ac:dyDescent="0.3">
      <c r="A31" s="193"/>
      <c r="B31" s="192" t="s">
        <v>132</v>
      </c>
      <c r="C31" s="123">
        <v>0</v>
      </c>
      <c r="D31" s="123">
        <v>0</v>
      </c>
      <c r="E31">
        <v>1000</v>
      </c>
      <c r="F31">
        <f t="shared" ref="F31" si="3">+E31*10%+E31</f>
        <v>1100</v>
      </c>
    </row>
    <row r="32" spans="1:6" ht="16.5" x14ac:dyDescent="0.3">
      <c r="A32" s="193"/>
      <c r="B32" s="192"/>
      <c r="C32" s="123"/>
      <c r="D32" s="123"/>
    </row>
    <row r="33" spans="1:6" ht="16.5" x14ac:dyDescent="0.3">
      <c r="A33" s="193"/>
      <c r="B33" s="335" t="s">
        <v>133</v>
      </c>
      <c r="C33" s="125">
        <f>SUM(C22:C32)</f>
        <v>2015866.18</v>
      </c>
      <c r="D33" s="125">
        <f>SUM(D22:D32)</f>
        <v>2619000</v>
      </c>
      <c r="E33" s="125">
        <f t="shared" ref="E33:F33" si="4">SUM(E22:E32)</f>
        <v>2274000</v>
      </c>
      <c r="F33" s="125">
        <f t="shared" si="4"/>
        <v>2501400</v>
      </c>
    </row>
    <row r="34" spans="1:6" ht="16.5" x14ac:dyDescent="0.3">
      <c r="A34" s="193"/>
      <c r="B34" s="192"/>
      <c r="C34" s="123"/>
      <c r="D34" s="123"/>
    </row>
    <row r="35" spans="1:6" ht="16.5" x14ac:dyDescent="0.3">
      <c r="A35" s="193">
        <v>15</v>
      </c>
      <c r="B35" s="192" t="s">
        <v>134</v>
      </c>
      <c r="C35" s="123"/>
      <c r="D35" s="123"/>
    </row>
    <row r="36" spans="1:6" ht="16.5" x14ac:dyDescent="0.3">
      <c r="A36" s="193">
        <v>16</v>
      </c>
      <c r="B36" s="192" t="s">
        <v>135</v>
      </c>
      <c r="C36" s="123"/>
      <c r="D36" s="123"/>
    </row>
    <row r="37" spans="1:6" ht="16.5" x14ac:dyDescent="0.3">
      <c r="A37" s="194"/>
      <c r="B37" s="131"/>
      <c r="C37" s="219"/>
      <c r="D37" s="219"/>
    </row>
    <row r="38" spans="1:6" ht="16.5" x14ac:dyDescent="0.3">
      <c r="A38" s="337"/>
      <c r="B38" s="338" t="s">
        <v>76</v>
      </c>
      <c r="C38" s="214">
        <f>SUM(C36+C35+C33+C19)</f>
        <v>9903170.1799999997</v>
      </c>
      <c r="D38" s="214">
        <f>SUM(D36+D35+D33+D19)</f>
        <v>6137000</v>
      </c>
      <c r="E38" s="214">
        <f t="shared" ref="E38:F38" si="5">SUM(E36+E35+E33+E19)</f>
        <v>4798000</v>
      </c>
      <c r="F38" s="214">
        <f t="shared" si="5"/>
        <v>5277800</v>
      </c>
    </row>
    <row r="39" spans="1:6" ht="16.5" x14ac:dyDescent="0.3">
      <c r="A39" s="77"/>
      <c r="B39" s="63"/>
      <c r="C39" s="63"/>
      <c r="D39" s="78"/>
    </row>
    <row r="40" spans="1:6" ht="16.5" x14ac:dyDescent="0.3">
      <c r="A40" s="77"/>
      <c r="B40" s="63"/>
      <c r="C40" s="63"/>
      <c r="D40" s="78"/>
    </row>
    <row r="41" spans="1:6" ht="16.5" x14ac:dyDescent="0.3">
      <c r="A41" s="77"/>
      <c r="B41" s="63"/>
      <c r="C41" s="63"/>
      <c r="D41" s="78"/>
    </row>
    <row r="42" spans="1:6" ht="16.5" x14ac:dyDescent="0.3">
      <c r="A42" s="350" t="s">
        <v>678</v>
      </c>
      <c r="C42" s="63"/>
      <c r="D42" s="351" t="s">
        <v>606</v>
      </c>
    </row>
    <row r="43" spans="1:6" ht="16.5" x14ac:dyDescent="0.3">
      <c r="A43" s="114" t="s">
        <v>679</v>
      </c>
      <c r="C43" s="63"/>
      <c r="D43" s="352" t="s">
        <v>604</v>
      </c>
    </row>
    <row r="44" spans="1:6" ht="16.5" x14ac:dyDescent="0.3">
      <c r="A44" s="77"/>
    </row>
    <row r="47" spans="1:6" ht="15" x14ac:dyDescent="0.25">
      <c r="A47" s="350" t="s">
        <v>650</v>
      </c>
      <c r="B47" s="7"/>
      <c r="C47" s="17"/>
      <c r="D47"/>
      <c r="E47" s="60"/>
    </row>
    <row r="48" spans="1:6" ht="15" x14ac:dyDescent="0.25">
      <c r="A48" s="114" t="s">
        <v>480</v>
      </c>
      <c r="B48" s="7"/>
      <c r="C48" s="17"/>
      <c r="D48" s="449" t="s">
        <v>605</v>
      </c>
      <c r="E48" s="60"/>
    </row>
    <row r="49" spans="1:4" ht="16.5" x14ac:dyDescent="0.3">
      <c r="C49" s="63"/>
      <c r="D49" s="449"/>
    </row>
    <row r="50" spans="1:4" ht="15" x14ac:dyDescent="0.25">
      <c r="C50" s="1"/>
      <c r="D50" s="449"/>
    </row>
    <row r="51" spans="1:4" ht="15.75" x14ac:dyDescent="0.3">
      <c r="A51" s="34" t="s">
        <v>410</v>
      </c>
      <c r="C51" s="1"/>
      <c r="D51" s="450"/>
    </row>
    <row r="52" spans="1:4" ht="15.75" x14ac:dyDescent="0.3">
      <c r="A52" s="255" t="s">
        <v>677</v>
      </c>
      <c r="D52" s="450"/>
    </row>
  </sheetData>
  <mergeCells count="4">
    <mergeCell ref="A1:D1"/>
    <mergeCell ref="A3:D3"/>
    <mergeCell ref="B5:B6"/>
    <mergeCell ref="A5:A6"/>
  </mergeCells>
  <phoneticPr fontId="0" type="noConversion"/>
  <printOptions horizontalCentered="1" verticalCentered="1"/>
  <pageMargins left="0.64" right="0.56999999999999995" top="0" bottom="1.31" header="0.511811023622047" footer="0.511811023622047"/>
  <pageSetup paperSize="9" scale="85" orientation="portrait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22" zoomScale="85" zoomScaleNormal="85" zoomScaleSheetLayoutView="85" workbookViewId="0">
      <selection sqref="A1:J42"/>
    </sheetView>
  </sheetViews>
  <sheetFormatPr defaultRowHeight="14.25" x14ac:dyDescent="0.2"/>
  <cols>
    <col min="1" max="1" width="4.625" customWidth="1"/>
    <col min="2" max="2" width="32.625" customWidth="1"/>
    <col min="3" max="3" width="13.75" bestFit="1" customWidth="1"/>
    <col min="4" max="4" width="14.125" customWidth="1"/>
    <col min="5" max="5" width="8.625" customWidth="1"/>
    <col min="6" max="6" width="13.75" bestFit="1" customWidth="1"/>
    <col min="7" max="7" width="14.25" customWidth="1"/>
    <col min="8" max="8" width="13.75" bestFit="1" customWidth="1"/>
    <col min="10" max="10" width="13.875" customWidth="1"/>
  </cols>
  <sheetData>
    <row r="1" spans="1:10" ht="18.75" x14ac:dyDescent="0.3">
      <c r="A1" s="517" t="s">
        <v>354</v>
      </c>
      <c r="B1" s="517"/>
      <c r="C1" s="517"/>
      <c r="D1" s="517"/>
      <c r="E1" s="517"/>
      <c r="F1" s="517"/>
      <c r="G1" s="517"/>
      <c r="H1" s="517"/>
      <c r="I1" s="517"/>
      <c r="J1" s="517"/>
    </row>
    <row r="2" spans="1:10" ht="18.75" x14ac:dyDescent="0.3">
      <c r="A2" s="217"/>
      <c r="B2" s="217"/>
      <c r="C2" s="217"/>
      <c r="D2" s="217"/>
      <c r="E2" s="217"/>
      <c r="F2" s="217"/>
      <c r="G2" s="1"/>
      <c r="H2" s="1"/>
      <c r="I2" s="1"/>
      <c r="J2" s="1"/>
    </row>
    <row r="3" spans="1:10" ht="16.5" x14ac:dyDescent="0.3">
      <c r="A3" s="518" t="s">
        <v>12</v>
      </c>
      <c r="B3" s="518"/>
      <c r="C3" s="518"/>
      <c r="D3" s="518"/>
      <c r="E3" s="518"/>
      <c r="F3" s="518"/>
      <c r="G3" s="518"/>
      <c r="H3" s="518"/>
      <c r="I3" s="518"/>
      <c r="J3" s="518"/>
    </row>
    <row r="4" spans="1:10" ht="15" x14ac:dyDescent="0.25">
      <c r="A4" s="567" t="s">
        <v>353</v>
      </c>
      <c r="B4" s="567"/>
      <c r="C4" s="567"/>
      <c r="D4" s="567"/>
      <c r="E4" s="567"/>
      <c r="F4" s="567"/>
      <c r="G4" s="567"/>
      <c r="H4" s="567"/>
      <c r="I4" s="567"/>
      <c r="J4" s="567"/>
    </row>
    <row r="5" spans="1:10" ht="15" customHeight="1" x14ac:dyDescent="0.25">
      <c r="A5" s="539" t="s">
        <v>253</v>
      </c>
      <c r="B5" s="568" t="s">
        <v>254</v>
      </c>
      <c r="C5" s="565" t="s">
        <v>655</v>
      </c>
      <c r="D5" s="566"/>
      <c r="E5" s="566"/>
      <c r="F5" s="566"/>
      <c r="G5" s="559" t="s">
        <v>658</v>
      </c>
      <c r="H5" s="560"/>
      <c r="I5" s="560"/>
      <c r="J5" s="561"/>
    </row>
    <row r="6" spans="1:10" ht="14.25" customHeight="1" x14ac:dyDescent="0.2">
      <c r="A6" s="539"/>
      <c r="B6" s="568"/>
      <c r="C6" s="564" t="s">
        <v>355</v>
      </c>
      <c r="D6" s="564" t="s">
        <v>356</v>
      </c>
      <c r="E6" s="564" t="s">
        <v>357</v>
      </c>
      <c r="F6" s="569" t="s">
        <v>358</v>
      </c>
      <c r="G6" s="562" t="s">
        <v>355</v>
      </c>
      <c r="H6" s="564" t="s">
        <v>356</v>
      </c>
      <c r="I6" s="564" t="s">
        <v>357</v>
      </c>
      <c r="J6" s="564" t="s">
        <v>358</v>
      </c>
    </row>
    <row r="7" spans="1:10" ht="15" customHeight="1" x14ac:dyDescent="0.2">
      <c r="A7" s="539"/>
      <c r="B7" s="568"/>
      <c r="C7" s="539"/>
      <c r="D7" s="539"/>
      <c r="E7" s="539"/>
      <c r="F7" s="570"/>
      <c r="G7" s="563"/>
      <c r="H7" s="539"/>
      <c r="I7" s="539"/>
      <c r="J7" s="539"/>
    </row>
    <row r="8" spans="1:10" ht="52.5" customHeight="1" x14ac:dyDescent="0.2">
      <c r="A8" s="539"/>
      <c r="B8" s="568"/>
      <c r="C8" s="539"/>
      <c r="D8" s="539"/>
      <c r="E8" s="539"/>
      <c r="F8" s="570"/>
      <c r="G8" s="563"/>
      <c r="H8" s="539"/>
      <c r="I8" s="539"/>
      <c r="J8" s="539"/>
    </row>
    <row r="9" spans="1:10" ht="16.5" x14ac:dyDescent="0.3">
      <c r="A9" s="67" t="s">
        <v>55</v>
      </c>
      <c r="B9" s="73" t="s">
        <v>259</v>
      </c>
      <c r="C9" s="68"/>
      <c r="D9" s="73"/>
      <c r="E9" s="67"/>
      <c r="F9" s="192"/>
      <c r="G9" s="443"/>
      <c r="H9" s="73"/>
      <c r="I9" s="67"/>
      <c r="J9" s="67"/>
    </row>
    <row r="10" spans="1:10" ht="16.5" x14ac:dyDescent="0.3">
      <c r="A10" s="67" t="s">
        <v>54</v>
      </c>
      <c r="B10" s="73" t="s">
        <v>260</v>
      </c>
      <c r="C10" s="66"/>
      <c r="D10" s="65"/>
      <c r="E10" s="66"/>
      <c r="F10" s="401"/>
      <c r="G10" s="444"/>
      <c r="H10" s="65"/>
      <c r="I10" s="66"/>
      <c r="J10" s="66"/>
    </row>
    <row r="11" spans="1:10" ht="16.5" x14ac:dyDescent="0.3">
      <c r="A11" s="67" t="s">
        <v>192</v>
      </c>
      <c r="B11" s="73" t="s">
        <v>261</v>
      </c>
      <c r="C11" s="123">
        <v>2720880</v>
      </c>
      <c r="D11" s="81">
        <v>340110</v>
      </c>
      <c r="E11" s="123">
        <v>0</v>
      </c>
      <c r="F11" s="402">
        <f>+C11+D11</f>
        <v>3060990</v>
      </c>
      <c r="G11" s="445">
        <v>2720880</v>
      </c>
      <c r="H11" s="81">
        <v>340000</v>
      </c>
      <c r="I11" s="123">
        <v>0</v>
      </c>
      <c r="J11" s="123">
        <f>G11+H11-I11</f>
        <v>3060880</v>
      </c>
    </row>
    <row r="12" spans="1:10" ht="16.5" x14ac:dyDescent="0.3">
      <c r="A12" s="67" t="s">
        <v>196</v>
      </c>
      <c r="B12" s="73" t="s">
        <v>262</v>
      </c>
      <c r="C12" s="123">
        <v>0</v>
      </c>
      <c r="D12" s="81">
        <v>0</v>
      </c>
      <c r="E12" s="123"/>
      <c r="F12" s="402">
        <f t="shared" ref="F12:F23" si="0">+C12+D12</f>
        <v>0</v>
      </c>
      <c r="G12" s="445">
        <v>0</v>
      </c>
      <c r="H12" s="81">
        <v>0</v>
      </c>
      <c r="I12" s="123"/>
      <c r="J12" s="123"/>
    </row>
    <row r="13" spans="1:10" ht="16.5" x14ac:dyDescent="0.3">
      <c r="A13" s="67" t="s">
        <v>239</v>
      </c>
      <c r="B13" s="73" t="s">
        <v>263</v>
      </c>
      <c r="C13" s="123">
        <v>0</v>
      </c>
      <c r="D13" s="81">
        <v>0</v>
      </c>
      <c r="E13" s="123">
        <v>0</v>
      </c>
      <c r="F13" s="402">
        <f t="shared" si="0"/>
        <v>0</v>
      </c>
      <c r="G13" s="445">
        <v>0</v>
      </c>
      <c r="H13" s="81">
        <v>0</v>
      </c>
      <c r="I13" s="123">
        <v>0</v>
      </c>
      <c r="J13" s="123">
        <f>G13+H13-I13</f>
        <v>0</v>
      </c>
    </row>
    <row r="14" spans="1:10" ht="16.5" x14ac:dyDescent="0.3">
      <c r="A14" s="67" t="s">
        <v>241</v>
      </c>
      <c r="B14" s="73" t="s">
        <v>264</v>
      </c>
      <c r="C14" s="123">
        <v>0</v>
      </c>
      <c r="D14" s="81">
        <v>0</v>
      </c>
      <c r="E14" s="123"/>
      <c r="F14" s="402">
        <f t="shared" si="0"/>
        <v>0</v>
      </c>
      <c r="G14" s="445">
        <v>0</v>
      </c>
      <c r="H14" s="81">
        <v>0</v>
      </c>
      <c r="I14" s="123"/>
      <c r="J14" s="123"/>
    </row>
    <row r="15" spans="1:10" ht="16.5" x14ac:dyDescent="0.3">
      <c r="A15" s="67" t="s">
        <v>265</v>
      </c>
      <c r="B15" s="73" t="s">
        <v>266</v>
      </c>
      <c r="C15" s="123">
        <v>0</v>
      </c>
      <c r="D15" s="81">
        <v>0</v>
      </c>
      <c r="E15" s="123"/>
      <c r="F15" s="402">
        <f t="shared" si="0"/>
        <v>0</v>
      </c>
      <c r="G15" s="445">
        <v>0</v>
      </c>
      <c r="H15" s="81">
        <v>0</v>
      </c>
      <c r="I15" s="123"/>
      <c r="J15" s="123"/>
    </row>
    <row r="16" spans="1:10" ht="16.5" x14ac:dyDescent="0.3">
      <c r="A16" s="67" t="s">
        <v>57</v>
      </c>
      <c r="B16" s="73" t="s">
        <v>267</v>
      </c>
      <c r="C16" s="123">
        <v>16593039</v>
      </c>
      <c r="D16" s="81">
        <v>2383004</v>
      </c>
      <c r="E16" s="123"/>
      <c r="F16" s="402">
        <f t="shared" si="0"/>
        <v>18976043</v>
      </c>
      <c r="G16" s="445">
        <v>17019907</v>
      </c>
      <c r="H16" s="81">
        <v>5414000</v>
      </c>
      <c r="I16" s="123"/>
      <c r="J16" s="123">
        <f t="shared" ref="J16:J23" si="1">G16+H16-I16</f>
        <v>22433907</v>
      </c>
    </row>
    <row r="17" spans="1:10" ht="16.5" x14ac:dyDescent="0.3">
      <c r="A17" s="67" t="s">
        <v>59</v>
      </c>
      <c r="B17" s="73" t="s">
        <v>268</v>
      </c>
      <c r="C17" s="123">
        <v>51417593</v>
      </c>
      <c r="D17" s="81">
        <v>7304119</v>
      </c>
      <c r="E17" s="123">
        <v>0</v>
      </c>
      <c r="F17" s="402">
        <f t="shared" si="0"/>
        <v>58721712</v>
      </c>
      <c r="G17" s="445">
        <v>50776266</v>
      </c>
      <c r="H17" s="81">
        <v>7573000</v>
      </c>
      <c r="I17" s="123">
        <v>0</v>
      </c>
      <c r="J17" s="123">
        <f t="shared" si="1"/>
        <v>58349266</v>
      </c>
    </row>
    <row r="18" spans="1:10" ht="16.5" x14ac:dyDescent="0.3">
      <c r="A18" s="67" t="s">
        <v>235</v>
      </c>
      <c r="B18" s="73" t="s">
        <v>269</v>
      </c>
      <c r="C18" s="123">
        <v>2998340</v>
      </c>
      <c r="D18" s="81">
        <v>299834</v>
      </c>
      <c r="E18" s="123">
        <v>0</v>
      </c>
      <c r="F18" s="402">
        <f t="shared" si="0"/>
        <v>3298174</v>
      </c>
      <c r="G18" s="445">
        <v>2998314</v>
      </c>
      <c r="H18" s="81">
        <v>1056000</v>
      </c>
      <c r="I18" s="123">
        <v>0</v>
      </c>
      <c r="J18" s="123">
        <f t="shared" si="1"/>
        <v>4054314</v>
      </c>
    </row>
    <row r="19" spans="1:10" ht="16.5" x14ac:dyDescent="0.3">
      <c r="A19" s="67" t="s">
        <v>71</v>
      </c>
      <c r="B19" s="73" t="s">
        <v>270</v>
      </c>
      <c r="C19" s="123">
        <v>1030266</v>
      </c>
      <c r="D19" s="81">
        <v>87877</v>
      </c>
      <c r="E19" s="123">
        <v>0</v>
      </c>
      <c r="F19" s="402">
        <f t="shared" si="0"/>
        <v>1118143</v>
      </c>
      <c r="G19" s="445">
        <v>1030265</v>
      </c>
      <c r="H19" s="81">
        <v>138000</v>
      </c>
      <c r="I19" s="123">
        <v>0</v>
      </c>
      <c r="J19" s="123">
        <f t="shared" si="1"/>
        <v>1168265</v>
      </c>
    </row>
    <row r="20" spans="1:10" ht="16.5" x14ac:dyDescent="0.3">
      <c r="A20" s="67" t="s">
        <v>75</v>
      </c>
      <c r="B20" s="73" t="s">
        <v>271</v>
      </c>
      <c r="C20" s="123">
        <v>55658</v>
      </c>
      <c r="D20" s="81">
        <v>9133</v>
      </c>
      <c r="E20" s="123">
        <v>0</v>
      </c>
      <c r="F20" s="402">
        <f t="shared" si="0"/>
        <v>64791</v>
      </c>
      <c r="G20" s="445">
        <v>55633</v>
      </c>
      <c r="H20" s="81">
        <v>16000</v>
      </c>
      <c r="I20" s="123">
        <v>0</v>
      </c>
      <c r="J20" s="123">
        <f t="shared" si="1"/>
        <v>71633</v>
      </c>
    </row>
    <row r="21" spans="1:10" ht="16.5" x14ac:dyDescent="0.3">
      <c r="A21" s="67" t="s">
        <v>246</v>
      </c>
      <c r="B21" s="73" t="s">
        <v>272</v>
      </c>
      <c r="C21" s="123">
        <v>0</v>
      </c>
      <c r="D21" s="81">
        <v>0</v>
      </c>
      <c r="E21" s="123"/>
      <c r="F21" s="402">
        <f t="shared" si="0"/>
        <v>0</v>
      </c>
      <c r="G21" s="445">
        <v>0</v>
      </c>
      <c r="H21" s="81">
        <v>0</v>
      </c>
      <c r="I21" s="123"/>
      <c r="J21" s="123">
        <f t="shared" si="1"/>
        <v>0</v>
      </c>
    </row>
    <row r="22" spans="1:10" ht="16.5" x14ac:dyDescent="0.3">
      <c r="A22" s="67" t="s">
        <v>248</v>
      </c>
      <c r="B22" s="73" t="s">
        <v>273</v>
      </c>
      <c r="C22" s="123">
        <v>0</v>
      </c>
      <c r="D22" s="81">
        <v>0</v>
      </c>
      <c r="E22" s="123"/>
      <c r="F22" s="402">
        <f t="shared" si="0"/>
        <v>0</v>
      </c>
      <c r="G22" s="445">
        <v>0</v>
      </c>
      <c r="H22" s="81">
        <v>0</v>
      </c>
      <c r="I22" s="123"/>
      <c r="J22" s="123">
        <f t="shared" si="1"/>
        <v>0</v>
      </c>
    </row>
    <row r="23" spans="1:10" ht="16.5" x14ac:dyDescent="0.3">
      <c r="A23" s="69"/>
      <c r="B23" s="70" t="s">
        <v>598</v>
      </c>
      <c r="C23" s="219">
        <v>19116</v>
      </c>
      <c r="D23" s="220">
        <v>29643</v>
      </c>
      <c r="E23" s="219"/>
      <c r="F23" s="402">
        <f t="shared" si="0"/>
        <v>48759</v>
      </c>
      <c r="G23" s="445">
        <v>16380</v>
      </c>
      <c r="H23" s="220">
        <v>3000</v>
      </c>
      <c r="I23" s="219"/>
      <c r="J23" s="123">
        <f t="shared" si="1"/>
        <v>19380</v>
      </c>
    </row>
    <row r="24" spans="1:10" ht="16.5" x14ac:dyDescent="0.3">
      <c r="A24" s="339"/>
      <c r="B24" s="339"/>
      <c r="C24" s="274">
        <f>SUM(C11:C23)</f>
        <v>74834892</v>
      </c>
      <c r="D24" s="274">
        <f>SUM(D11:D23)</f>
        <v>10453720</v>
      </c>
      <c r="E24" s="274">
        <f t="shared" ref="E24:J24" si="2">SUM(E11:E23)</f>
        <v>0</v>
      </c>
      <c r="F24" s="403">
        <f>SUM(F11:F23)</f>
        <v>85288612</v>
      </c>
      <c r="G24" s="446">
        <f t="shared" si="2"/>
        <v>74617645</v>
      </c>
      <c r="H24" s="274">
        <f t="shared" si="2"/>
        <v>14540000</v>
      </c>
      <c r="I24" s="274">
        <f t="shared" si="2"/>
        <v>0</v>
      </c>
      <c r="J24" s="274">
        <f t="shared" si="2"/>
        <v>89157645</v>
      </c>
    </row>
    <row r="25" spans="1:10" ht="16.5" x14ac:dyDescent="0.3">
      <c r="A25" s="64" t="s">
        <v>274</v>
      </c>
      <c r="B25" s="64" t="s">
        <v>275</v>
      </c>
      <c r="C25" s="73"/>
      <c r="D25" s="73"/>
      <c r="E25" s="73"/>
      <c r="F25" s="73"/>
    </row>
    <row r="26" spans="1:10" ht="16.5" x14ac:dyDescent="0.3">
      <c r="A26" s="64" t="s">
        <v>276</v>
      </c>
      <c r="B26" s="64" t="s">
        <v>277</v>
      </c>
      <c r="C26" s="73"/>
      <c r="D26" s="73"/>
      <c r="E26" s="73"/>
      <c r="F26" s="73"/>
    </row>
    <row r="27" spans="1:10" ht="16.5" x14ac:dyDescent="0.3">
      <c r="A27" s="64" t="s">
        <v>278</v>
      </c>
      <c r="B27" s="64" t="s">
        <v>279</v>
      </c>
      <c r="C27" s="73"/>
      <c r="D27" s="73"/>
      <c r="E27" s="73"/>
      <c r="F27" s="73"/>
    </row>
    <row r="28" spans="1:10" ht="16.5" x14ac:dyDescent="0.3">
      <c r="A28" s="73"/>
      <c r="B28" s="73"/>
      <c r="C28" s="73"/>
      <c r="D28" s="73"/>
      <c r="E28" s="73"/>
      <c r="F28" s="73"/>
    </row>
    <row r="29" spans="1:10" ht="16.5" x14ac:dyDescent="0.3">
      <c r="A29" s="63"/>
      <c r="B29" s="63"/>
      <c r="C29" s="63"/>
      <c r="D29" s="63"/>
      <c r="E29" s="63"/>
      <c r="F29" s="63"/>
    </row>
    <row r="30" spans="1:10" ht="16.5" x14ac:dyDescent="0.3">
      <c r="A30" s="63"/>
      <c r="B30" s="63"/>
      <c r="C30" s="63"/>
      <c r="D30" s="63"/>
      <c r="E30" s="63"/>
      <c r="F30" s="63"/>
    </row>
    <row r="31" spans="1:10" ht="16.5" x14ac:dyDescent="0.3">
      <c r="A31" s="350" t="s">
        <v>678</v>
      </c>
      <c r="E31" s="63"/>
      <c r="F31" s="63"/>
      <c r="G31" s="63"/>
      <c r="H31" s="353"/>
      <c r="J31" s="351" t="s">
        <v>606</v>
      </c>
    </row>
    <row r="32" spans="1:10" ht="16.5" x14ac:dyDescent="0.3">
      <c r="A32" s="114" t="s">
        <v>679</v>
      </c>
      <c r="B32" s="34"/>
      <c r="E32" s="63"/>
      <c r="F32" s="63"/>
      <c r="G32" s="63"/>
      <c r="H32" s="354"/>
      <c r="J32" s="352" t="s">
        <v>604</v>
      </c>
    </row>
    <row r="37" spans="1:10" ht="15" x14ac:dyDescent="0.25">
      <c r="A37" s="350" t="s">
        <v>650</v>
      </c>
      <c r="B37" s="7"/>
      <c r="C37" s="17"/>
      <c r="D37" s="7"/>
      <c r="E37" s="60"/>
    </row>
    <row r="38" spans="1:10" ht="15" x14ac:dyDescent="0.25">
      <c r="A38" s="114" t="s">
        <v>480</v>
      </c>
      <c r="B38" s="7"/>
      <c r="C38" s="17"/>
      <c r="D38" s="7"/>
      <c r="E38" s="60"/>
      <c r="J38" s="449" t="s">
        <v>605</v>
      </c>
    </row>
    <row r="39" spans="1:10" ht="16.5" x14ac:dyDescent="0.3">
      <c r="I39" s="63"/>
      <c r="J39" s="449"/>
    </row>
    <row r="40" spans="1:10" ht="15" x14ac:dyDescent="0.25">
      <c r="I40" s="1"/>
      <c r="J40" s="449"/>
    </row>
    <row r="41" spans="1:10" ht="15.75" x14ac:dyDescent="0.3">
      <c r="A41" s="34" t="s">
        <v>410</v>
      </c>
      <c r="I41" s="1"/>
      <c r="J41" s="450"/>
    </row>
    <row r="42" spans="1:10" ht="15.75" x14ac:dyDescent="0.3">
      <c r="A42" s="255" t="s">
        <v>677</v>
      </c>
      <c r="J42" s="450"/>
    </row>
  </sheetData>
  <mergeCells count="15">
    <mergeCell ref="A1:J1"/>
    <mergeCell ref="G5:J5"/>
    <mergeCell ref="G6:G8"/>
    <mergeCell ref="H6:H8"/>
    <mergeCell ref="I6:I8"/>
    <mergeCell ref="C5:F5"/>
    <mergeCell ref="C6:C8"/>
    <mergeCell ref="D6:D8"/>
    <mergeCell ref="E6:E8"/>
    <mergeCell ref="A4:J4"/>
    <mergeCell ref="A5:A8"/>
    <mergeCell ref="B5:B8"/>
    <mergeCell ref="J6:J8"/>
    <mergeCell ref="F6:F8"/>
    <mergeCell ref="A3:J3"/>
  </mergeCells>
  <phoneticPr fontId="6" type="noConversion"/>
  <printOptions horizontalCentered="1" verticalCentered="1"/>
  <pageMargins left="0.22" right="0.26" top="0.53" bottom="0.46" header="0.24" footer="0.28000000000000003"/>
  <pageSetup scale="76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view="pageBreakPreview" topLeftCell="A13" zoomScaleNormal="100" workbookViewId="0">
      <selection sqref="A1:D35"/>
    </sheetView>
  </sheetViews>
  <sheetFormatPr defaultRowHeight="14.25" x14ac:dyDescent="0.2"/>
  <cols>
    <col min="2" max="2" width="33" customWidth="1"/>
    <col min="3" max="3" width="17.875" customWidth="1"/>
    <col min="4" max="4" width="21.375" customWidth="1"/>
  </cols>
  <sheetData>
    <row r="1" spans="2:4" ht="18.75" x14ac:dyDescent="0.3">
      <c r="B1" s="571" t="s">
        <v>137</v>
      </c>
      <c r="C1" s="571"/>
      <c r="D1" s="571"/>
    </row>
    <row r="2" spans="2:4" ht="16.5" x14ac:dyDescent="0.3">
      <c r="B2" s="506" t="s">
        <v>138</v>
      </c>
      <c r="C2" s="506"/>
      <c r="D2" s="506"/>
    </row>
    <row r="3" spans="2:4" ht="16.5" x14ac:dyDescent="0.3">
      <c r="B3" s="63"/>
      <c r="C3" s="63"/>
      <c r="D3" s="63"/>
    </row>
    <row r="4" spans="2:4" ht="15" x14ac:dyDescent="0.2">
      <c r="B4" s="572" t="s">
        <v>3</v>
      </c>
      <c r="C4" s="393" t="s">
        <v>623</v>
      </c>
      <c r="D4" s="394" t="s">
        <v>623</v>
      </c>
    </row>
    <row r="5" spans="2:4" ht="30" x14ac:dyDescent="0.2">
      <c r="B5" s="573"/>
      <c r="C5" s="395" t="s">
        <v>590</v>
      </c>
      <c r="D5" s="396" t="s">
        <v>592</v>
      </c>
    </row>
    <row r="6" spans="2:4" ht="16.5" x14ac:dyDescent="0.3">
      <c r="B6" s="192"/>
      <c r="C6" s="67"/>
      <c r="D6" s="67"/>
    </row>
    <row r="7" spans="2:4" ht="42.75" x14ac:dyDescent="0.3">
      <c r="B7" s="376" t="s">
        <v>562</v>
      </c>
      <c r="C7" s="340">
        <v>555037.67000000004</v>
      </c>
      <c r="D7" s="340">
        <v>326000</v>
      </c>
    </row>
    <row r="8" spans="2:4" ht="27.75" x14ac:dyDescent="0.3">
      <c r="B8" s="376" t="s">
        <v>599</v>
      </c>
      <c r="C8" s="67"/>
      <c r="D8" s="67"/>
    </row>
    <row r="9" spans="2:4" ht="6" customHeight="1" x14ac:dyDescent="0.3">
      <c r="B9" s="192"/>
      <c r="C9" s="67"/>
      <c r="D9" s="67"/>
    </row>
    <row r="10" spans="2:4" ht="29.25" x14ac:dyDescent="0.3">
      <c r="B10" s="376" t="s">
        <v>563</v>
      </c>
      <c r="C10" s="187">
        <v>1973835.64</v>
      </c>
      <c r="D10" s="187">
        <v>2015000</v>
      </c>
    </row>
    <row r="11" spans="2:4" ht="27.75" x14ac:dyDescent="0.3">
      <c r="B11" s="376" t="s">
        <v>599</v>
      </c>
      <c r="C11" s="67"/>
      <c r="D11" s="341"/>
    </row>
    <row r="12" spans="2:4" ht="29.25" customHeight="1" x14ac:dyDescent="0.3">
      <c r="B12" s="376" t="s">
        <v>662</v>
      </c>
      <c r="C12" s="123">
        <v>313482</v>
      </c>
      <c r="D12" s="123">
        <v>8807000</v>
      </c>
    </row>
    <row r="13" spans="2:4" ht="16.5" x14ac:dyDescent="0.3">
      <c r="B13" s="377" t="s">
        <v>663</v>
      </c>
      <c r="C13" s="341">
        <f>+'[1]Balacnesheet P&amp;L'!$D$102</f>
        <v>4043272</v>
      </c>
      <c r="D13" s="123">
        <v>3840000</v>
      </c>
    </row>
    <row r="14" spans="2:4" ht="7.5" customHeight="1" x14ac:dyDescent="0.3">
      <c r="B14" s="192"/>
      <c r="C14" s="67"/>
      <c r="D14" s="341"/>
    </row>
    <row r="15" spans="2:4" ht="16.5" hidden="1" x14ac:dyDescent="0.3">
      <c r="B15" s="192"/>
      <c r="C15" s="123"/>
      <c r="D15" s="341"/>
    </row>
    <row r="16" spans="2:4" ht="16.5" hidden="1" x14ac:dyDescent="0.3">
      <c r="B16" s="192"/>
      <c r="C16" s="67"/>
      <c r="D16" s="341"/>
    </row>
    <row r="17" spans="1:4" ht="16.5" x14ac:dyDescent="0.3">
      <c r="B17" s="72"/>
      <c r="C17" s="274">
        <f>SUM(C7:C16)</f>
        <v>6885627.3100000005</v>
      </c>
      <c r="D17" s="274">
        <f>SUM(D7:D16)</f>
        <v>14988000</v>
      </c>
    </row>
    <row r="18" spans="1:4" ht="7.5" customHeight="1" x14ac:dyDescent="0.3">
      <c r="B18" s="63"/>
      <c r="C18" s="63"/>
      <c r="D18" s="63"/>
    </row>
    <row r="19" spans="1:4" ht="23.25" customHeight="1" x14ac:dyDescent="0.2">
      <c r="A19" s="574"/>
      <c r="B19" s="574"/>
      <c r="C19" s="574"/>
      <c r="D19" s="574"/>
    </row>
    <row r="20" spans="1:4" ht="16.5" customHeight="1" x14ac:dyDescent="0.2">
      <c r="A20" s="574"/>
      <c r="B20" s="574"/>
      <c r="C20" s="574"/>
      <c r="D20" s="574"/>
    </row>
    <row r="21" spans="1:4" ht="16.5" customHeight="1" x14ac:dyDescent="0.25">
      <c r="A21" s="448"/>
      <c r="B21" s="448"/>
      <c r="C21" s="448"/>
      <c r="D21" s="448"/>
    </row>
    <row r="22" spans="1:4" ht="16.5" customHeight="1" x14ac:dyDescent="0.25">
      <c r="A22" s="448"/>
      <c r="B22" s="448"/>
      <c r="C22" s="448"/>
      <c r="D22" s="448"/>
    </row>
    <row r="23" spans="1:4" ht="16.5" x14ac:dyDescent="0.3">
      <c r="B23" s="63"/>
      <c r="C23" s="63"/>
      <c r="D23" s="63"/>
    </row>
    <row r="24" spans="1:4" ht="15" x14ac:dyDescent="0.25">
      <c r="A24" s="350" t="s">
        <v>678</v>
      </c>
      <c r="D24" s="351" t="s">
        <v>606</v>
      </c>
    </row>
    <row r="25" spans="1:4" ht="15" x14ac:dyDescent="0.25">
      <c r="A25" s="114" t="s">
        <v>679</v>
      </c>
      <c r="D25" s="352" t="s">
        <v>604</v>
      </c>
    </row>
    <row r="30" spans="1:4" ht="15" x14ac:dyDescent="0.25">
      <c r="A30" s="350" t="s">
        <v>650</v>
      </c>
      <c r="B30" s="7"/>
      <c r="C30" s="17"/>
    </row>
    <row r="31" spans="1:4" ht="15" x14ac:dyDescent="0.25">
      <c r="A31" s="114" t="s">
        <v>480</v>
      </c>
      <c r="B31" s="7"/>
      <c r="C31" s="17"/>
      <c r="D31" s="449" t="s">
        <v>605</v>
      </c>
    </row>
    <row r="34" spans="1:1" ht="15" x14ac:dyDescent="0.25">
      <c r="A34" s="34" t="s">
        <v>410</v>
      </c>
    </row>
    <row r="35" spans="1:1" ht="15" x14ac:dyDescent="0.25">
      <c r="A35" s="255" t="s">
        <v>677</v>
      </c>
    </row>
    <row r="92" spans="4:4" x14ac:dyDescent="0.2">
      <c r="D92" s="441"/>
    </row>
  </sheetData>
  <mergeCells count="4">
    <mergeCell ref="B1:D1"/>
    <mergeCell ref="B2:D2"/>
    <mergeCell ref="B4:B5"/>
    <mergeCell ref="A19:D20"/>
  </mergeCells>
  <phoneticPr fontId="6" type="noConversion"/>
  <pageMargins left="0.75" right="0.23" top="0.55000000000000004" bottom="0.75" header="0.33" footer="0.31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22" zoomScale="60" zoomScaleNormal="85" workbookViewId="0">
      <selection activeCell="L36" sqref="L36"/>
    </sheetView>
  </sheetViews>
  <sheetFormatPr defaultColWidth="8" defaultRowHeight="15" x14ac:dyDescent="0.2"/>
  <cols>
    <col min="1" max="1" width="5.75" style="38" bestFit="1" customWidth="1"/>
    <col min="2" max="2" width="23.5" style="38" bestFit="1" customWidth="1"/>
    <col min="3" max="3" width="9.375" style="38" bestFit="1" customWidth="1"/>
    <col min="4" max="4" width="9.625" style="38" customWidth="1"/>
    <col min="5" max="5" width="6.125" style="38" customWidth="1"/>
    <col min="6" max="6" width="10.125" style="38" customWidth="1"/>
    <col min="7" max="7" width="6.25" style="38" customWidth="1"/>
    <col min="8" max="8" width="8.5" style="38" customWidth="1"/>
    <col min="9" max="9" width="9.125" style="38" customWidth="1"/>
    <col min="10" max="16384" width="8" style="38"/>
  </cols>
  <sheetData>
    <row r="1" spans="1:9" ht="18.75" x14ac:dyDescent="0.3">
      <c r="A1" s="576" t="s">
        <v>481</v>
      </c>
      <c r="B1" s="576"/>
      <c r="C1" s="576"/>
      <c r="D1" s="576"/>
      <c r="E1" s="576"/>
      <c r="F1" s="577"/>
      <c r="G1" s="577"/>
      <c r="H1" s="577"/>
      <c r="I1" s="577"/>
    </row>
    <row r="2" spans="1:9" ht="18.75" x14ac:dyDescent="0.3">
      <c r="A2" s="221"/>
      <c r="B2" s="221"/>
      <c r="C2" s="221"/>
      <c r="D2" s="221"/>
      <c r="E2" s="221"/>
      <c r="F2" s="222"/>
      <c r="G2" s="222"/>
      <c r="H2" s="222"/>
      <c r="I2" s="222"/>
    </row>
    <row r="3" spans="1:9" ht="16.5" x14ac:dyDescent="0.3">
      <c r="A3" s="541" t="s">
        <v>482</v>
      </c>
      <c r="B3" s="541"/>
      <c r="C3" s="541"/>
      <c r="D3" s="541"/>
      <c r="E3" s="541"/>
      <c r="F3" s="575"/>
      <c r="G3" s="575"/>
      <c r="H3" s="575"/>
      <c r="I3" s="575"/>
    </row>
    <row r="4" spans="1:9" ht="15.75" x14ac:dyDescent="0.25">
      <c r="A4" s="39"/>
      <c r="B4" s="39"/>
      <c r="C4" s="39"/>
      <c r="D4" s="39"/>
      <c r="E4" s="39"/>
      <c r="F4" s="40"/>
      <c r="G4" s="40"/>
      <c r="H4" s="40"/>
      <c r="I4" s="40"/>
    </row>
    <row r="5" spans="1:9" ht="15.75" x14ac:dyDescent="0.25">
      <c r="A5" s="578" t="s">
        <v>483</v>
      </c>
      <c r="B5" s="579"/>
      <c r="C5" s="579"/>
      <c r="D5" s="579"/>
      <c r="E5" s="579"/>
      <c r="F5" s="579"/>
      <c r="G5" s="579"/>
      <c r="H5" s="579"/>
      <c r="I5" s="579"/>
    </row>
    <row r="6" spans="1:9" ht="17.25" thickBot="1" x14ac:dyDescent="0.35">
      <c r="A6" s="541" t="s">
        <v>655</v>
      </c>
      <c r="B6" s="541"/>
      <c r="C6" s="541"/>
      <c r="D6" s="541"/>
      <c r="E6" s="541"/>
      <c r="F6" s="575"/>
      <c r="G6" s="575"/>
      <c r="H6" s="575"/>
      <c r="I6" s="575"/>
    </row>
    <row r="7" spans="1:9" s="41" customFormat="1" ht="60.75" thickBot="1" x14ac:dyDescent="0.25">
      <c r="A7" s="223" t="s">
        <v>285</v>
      </c>
      <c r="B7" s="224" t="s">
        <v>484</v>
      </c>
      <c r="C7" s="225" t="s">
        <v>485</v>
      </c>
      <c r="D7" s="226" t="s">
        <v>486</v>
      </c>
      <c r="E7" s="226" t="s">
        <v>487</v>
      </c>
      <c r="F7" s="226" t="s">
        <v>488</v>
      </c>
      <c r="G7" s="226" t="s">
        <v>489</v>
      </c>
      <c r="H7" s="226" t="s">
        <v>490</v>
      </c>
      <c r="I7" s="227" t="s">
        <v>491</v>
      </c>
    </row>
    <row r="8" spans="1:9" ht="15.75" x14ac:dyDescent="0.25">
      <c r="A8" s="42"/>
      <c r="B8" s="43"/>
      <c r="C8" s="44"/>
      <c r="D8" s="45"/>
      <c r="E8" s="45"/>
      <c r="F8" s="45"/>
      <c r="G8" s="45"/>
      <c r="H8" s="45"/>
      <c r="I8" s="46"/>
    </row>
    <row r="9" spans="1:9" ht="15.75" x14ac:dyDescent="0.25">
      <c r="A9" s="47"/>
      <c r="B9" s="48"/>
      <c r="C9" s="49"/>
      <c r="D9" s="48"/>
      <c r="E9" s="48"/>
      <c r="F9" s="48"/>
      <c r="G9" s="48"/>
      <c r="H9" s="48"/>
      <c r="I9" s="50"/>
    </row>
    <row r="10" spans="1:9" ht="15.75" x14ac:dyDescent="0.25">
      <c r="A10" s="47"/>
      <c r="B10" s="48"/>
      <c r="C10" s="51" t="s">
        <v>290</v>
      </c>
      <c r="D10" s="51" t="s">
        <v>290</v>
      </c>
      <c r="E10" s="51" t="s">
        <v>290</v>
      </c>
      <c r="F10" s="51" t="s">
        <v>290</v>
      </c>
      <c r="G10" s="51" t="s">
        <v>290</v>
      </c>
      <c r="H10" s="51" t="s">
        <v>290</v>
      </c>
      <c r="I10" s="52" t="s">
        <v>290</v>
      </c>
    </row>
    <row r="11" spans="1:9" ht="15.75" x14ac:dyDescent="0.25">
      <c r="A11" s="47"/>
      <c r="B11" s="48"/>
      <c r="C11" s="49"/>
      <c r="D11" s="48"/>
      <c r="E11" s="48"/>
      <c r="F11" s="48"/>
      <c r="G11" s="48"/>
      <c r="H11" s="48"/>
      <c r="I11" s="50"/>
    </row>
    <row r="12" spans="1:9" ht="16.5" thickBot="1" x14ac:dyDescent="0.3">
      <c r="A12" s="53"/>
      <c r="B12" s="54"/>
      <c r="C12" s="55"/>
      <c r="D12" s="54"/>
      <c r="E12" s="54"/>
      <c r="F12" s="54"/>
      <c r="G12" s="54"/>
      <c r="H12" s="54"/>
      <c r="I12" s="56"/>
    </row>
    <row r="13" spans="1:9" ht="16.5" x14ac:dyDescent="0.3">
      <c r="A13" s="57"/>
      <c r="B13" s="36"/>
      <c r="C13" s="57"/>
      <c r="D13" s="57"/>
      <c r="E13" s="57"/>
      <c r="F13" s="58"/>
      <c r="G13" s="58"/>
      <c r="H13" s="58"/>
      <c r="I13" s="58"/>
    </row>
    <row r="14" spans="1:9" ht="17.25" thickBot="1" x14ac:dyDescent="0.35">
      <c r="A14" s="541" t="s">
        <v>656</v>
      </c>
      <c r="B14" s="541"/>
      <c r="C14" s="541"/>
      <c r="D14" s="541"/>
      <c r="E14" s="541"/>
      <c r="F14" s="575"/>
      <c r="G14" s="575"/>
      <c r="H14" s="575"/>
      <c r="I14" s="575"/>
    </row>
    <row r="15" spans="1:9" ht="60.75" thickBot="1" x14ac:dyDescent="0.25">
      <c r="A15" s="223" t="s">
        <v>285</v>
      </c>
      <c r="B15" s="224" t="s">
        <v>484</v>
      </c>
      <c r="C15" s="225" t="s">
        <v>485</v>
      </c>
      <c r="D15" s="226" t="s">
        <v>486</v>
      </c>
      <c r="E15" s="226" t="s">
        <v>487</v>
      </c>
      <c r="F15" s="226" t="s">
        <v>488</v>
      </c>
      <c r="G15" s="226" t="s">
        <v>489</v>
      </c>
      <c r="H15" s="226" t="s">
        <v>490</v>
      </c>
      <c r="I15" s="227" t="s">
        <v>491</v>
      </c>
    </row>
    <row r="16" spans="1:9" ht="15.75" x14ac:dyDescent="0.25">
      <c r="A16" s="42"/>
      <c r="B16" s="43"/>
      <c r="C16" s="44"/>
      <c r="D16" s="45"/>
      <c r="E16" s="45"/>
      <c r="F16" s="45"/>
      <c r="G16" s="45"/>
      <c r="H16" s="45"/>
      <c r="I16" s="46"/>
    </row>
    <row r="17" spans="1:11" ht="15.75" x14ac:dyDescent="0.25">
      <c r="A17" s="47"/>
      <c r="B17" s="48"/>
      <c r="C17" s="49"/>
      <c r="D17" s="48"/>
      <c r="E17" s="48"/>
      <c r="F17" s="48"/>
      <c r="G17" s="48"/>
      <c r="H17" s="48"/>
      <c r="I17" s="50"/>
    </row>
    <row r="18" spans="1:11" ht="15.75" x14ac:dyDescent="0.25">
      <c r="A18" s="47"/>
      <c r="B18" s="48"/>
      <c r="C18" s="51" t="s">
        <v>290</v>
      </c>
      <c r="D18" s="51" t="s">
        <v>290</v>
      </c>
      <c r="E18" s="51" t="s">
        <v>290</v>
      </c>
      <c r="F18" s="51" t="s">
        <v>290</v>
      </c>
      <c r="G18" s="51" t="s">
        <v>290</v>
      </c>
      <c r="H18" s="51" t="s">
        <v>290</v>
      </c>
      <c r="I18" s="52" t="s">
        <v>290</v>
      </c>
    </row>
    <row r="19" spans="1:11" ht="15.75" x14ac:dyDescent="0.25">
      <c r="A19" s="47"/>
      <c r="B19" s="48"/>
      <c r="C19" s="49"/>
      <c r="D19" s="48"/>
      <c r="E19" s="48"/>
      <c r="F19" s="48"/>
      <c r="G19" s="48"/>
      <c r="H19" s="48"/>
      <c r="I19" s="50"/>
      <c r="J19" s="58"/>
    </row>
    <row r="20" spans="1:11" s="60" customFormat="1" ht="16.5" thickBot="1" x14ac:dyDescent="0.3">
      <c r="A20" s="53"/>
      <c r="B20" s="54"/>
      <c r="C20" s="55"/>
      <c r="D20" s="54"/>
      <c r="E20" s="54"/>
      <c r="F20" s="54"/>
      <c r="G20" s="54"/>
      <c r="H20" s="54"/>
      <c r="I20" s="56"/>
      <c r="J20" s="59"/>
    </row>
    <row r="21" spans="1:11" s="60" customFormat="1" ht="15.75" x14ac:dyDescent="0.25">
      <c r="A21" s="57"/>
      <c r="B21" s="57"/>
      <c r="C21" s="57"/>
      <c r="D21" s="57"/>
      <c r="E21" s="57"/>
      <c r="F21" s="58"/>
      <c r="G21" s="58"/>
      <c r="H21" s="58"/>
      <c r="I21" s="58"/>
      <c r="J21" s="59"/>
    </row>
    <row r="22" spans="1:11" s="60" customFormat="1" ht="15.75" x14ac:dyDescent="0.25">
      <c r="A22" s="57"/>
      <c r="B22" s="57"/>
      <c r="C22" s="57"/>
      <c r="D22" s="57"/>
      <c r="E22" s="57"/>
      <c r="F22" s="58"/>
      <c r="G22" s="58"/>
      <c r="H22" s="58"/>
      <c r="I22" s="58"/>
      <c r="J22" s="59"/>
    </row>
    <row r="23" spans="1:11" s="60" customFormat="1" ht="15.75" x14ac:dyDescent="0.25">
      <c r="A23" s="57"/>
      <c r="B23" s="57"/>
      <c r="C23" s="57"/>
      <c r="D23" s="57"/>
      <c r="E23" s="57"/>
      <c r="F23" s="58"/>
      <c r="G23" s="58"/>
      <c r="H23" s="58"/>
      <c r="I23" s="58"/>
      <c r="J23" s="59"/>
      <c r="K23" s="59"/>
    </row>
    <row r="24" spans="1:11" s="60" customFormat="1" ht="15.75" x14ac:dyDescent="0.25">
      <c r="A24" s="57"/>
      <c r="B24" s="57"/>
      <c r="C24" s="57"/>
      <c r="D24" s="57"/>
      <c r="E24" s="57"/>
      <c r="F24" s="58"/>
      <c r="G24" s="58"/>
      <c r="H24" s="58"/>
      <c r="I24" s="58"/>
      <c r="J24" s="59"/>
      <c r="K24" s="59"/>
    </row>
    <row r="25" spans="1:11" s="60" customFormat="1" ht="16.5" x14ac:dyDescent="0.3">
      <c r="A25" s="350" t="s">
        <v>678</v>
      </c>
      <c r="B25" s="38"/>
      <c r="D25" s="38"/>
      <c r="E25" s="35"/>
      <c r="F25" s="35"/>
      <c r="G25" s="228"/>
      <c r="H25" s="38"/>
      <c r="I25" s="351" t="s">
        <v>606</v>
      </c>
      <c r="J25" s="59"/>
      <c r="K25" s="59"/>
    </row>
    <row r="26" spans="1:11" s="60" customFormat="1" ht="16.5" x14ac:dyDescent="0.3">
      <c r="A26" s="114" t="s">
        <v>679</v>
      </c>
      <c r="E26" s="35"/>
      <c r="F26" s="35"/>
      <c r="G26" s="35"/>
      <c r="I26" s="352" t="s">
        <v>604</v>
      </c>
      <c r="J26" s="59"/>
      <c r="K26" s="59"/>
    </row>
    <row r="27" spans="1:11" s="60" customFormat="1" ht="16.5" x14ac:dyDescent="0.3">
      <c r="A27" s="34"/>
      <c r="B27" s="35"/>
      <c r="C27" s="35"/>
      <c r="D27" s="35"/>
      <c r="E27" s="35"/>
      <c r="F27" s="35"/>
      <c r="G27" s="229"/>
      <c r="H27" s="229"/>
      <c r="I27" s="59"/>
      <c r="J27" s="59"/>
      <c r="K27" s="59"/>
    </row>
    <row r="28" spans="1:11" s="60" customFormat="1" ht="16.5" x14ac:dyDescent="0.3">
      <c r="A28" s="34"/>
      <c r="B28" s="35"/>
      <c r="C28" s="35"/>
      <c r="D28" s="35"/>
      <c r="E28" s="35"/>
      <c r="F28" s="35"/>
      <c r="G28" s="229"/>
      <c r="H28" s="229"/>
      <c r="I28" s="59"/>
      <c r="J28" s="59"/>
      <c r="K28" s="59"/>
    </row>
    <row r="29" spans="1:11" s="60" customFormat="1" ht="16.5" x14ac:dyDescent="0.3">
      <c r="A29" s="34"/>
      <c r="B29" s="35"/>
      <c r="C29" s="35"/>
      <c r="D29" s="35"/>
      <c r="E29" s="35"/>
      <c r="F29" s="35"/>
      <c r="G29" s="229"/>
      <c r="H29" s="229"/>
      <c r="I29" s="59"/>
      <c r="J29" s="59"/>
      <c r="K29" s="59"/>
    </row>
    <row r="30" spans="1:11" s="60" customFormat="1" x14ac:dyDescent="0.25">
      <c r="A30" s="350" t="s">
        <v>650</v>
      </c>
      <c r="B30" s="7"/>
      <c r="C30" s="17"/>
      <c r="D30" s="7"/>
      <c r="G30" s="229"/>
      <c r="H30" s="229"/>
      <c r="I30"/>
      <c r="J30" s="59"/>
      <c r="K30" s="59"/>
    </row>
    <row r="31" spans="1:11" s="60" customFormat="1" x14ac:dyDescent="0.25">
      <c r="A31" s="114" t="s">
        <v>480</v>
      </c>
      <c r="B31" s="7"/>
      <c r="C31" s="17"/>
      <c r="D31" s="7"/>
      <c r="G31" s="229"/>
      <c r="H31" s="229"/>
      <c r="I31" s="449" t="s">
        <v>605</v>
      </c>
      <c r="J31" s="59"/>
      <c r="K31" s="59"/>
    </row>
    <row r="32" spans="1:11" s="60" customFormat="1" ht="16.5" x14ac:dyDescent="0.3">
      <c r="A32" s="34"/>
      <c r="B32" s="34"/>
      <c r="C32" s="33"/>
      <c r="D32" s="33"/>
      <c r="E32" s="34"/>
      <c r="F32" s="35"/>
      <c r="G32" s="33"/>
      <c r="H32" s="63"/>
      <c r="I32" s="449"/>
      <c r="J32" s="59"/>
      <c r="K32" s="59"/>
    </row>
    <row r="33" spans="1:9" ht="15.75" x14ac:dyDescent="0.25">
      <c r="A33" s="34"/>
      <c r="B33" s="34"/>
      <c r="C33" s="34"/>
      <c r="D33" s="34"/>
      <c r="E33" s="34"/>
      <c r="F33" s="34"/>
      <c r="G33" s="34"/>
      <c r="H33"/>
      <c r="I33" s="449"/>
    </row>
    <row r="34" spans="1:9" ht="15.75" x14ac:dyDescent="0.25">
      <c r="A34" s="34" t="s">
        <v>410</v>
      </c>
      <c r="B34" s="34"/>
      <c r="C34" s="34"/>
      <c r="D34" s="34"/>
      <c r="E34" s="34"/>
      <c r="F34" s="34"/>
      <c r="G34" s="34"/>
      <c r="H34" s="1"/>
      <c r="I34" s="449"/>
    </row>
    <row r="35" spans="1:9" ht="15.75" x14ac:dyDescent="0.25">
      <c r="A35" s="255" t="s">
        <v>677</v>
      </c>
      <c r="B35" s="34"/>
      <c r="C35" s="34"/>
      <c r="D35" s="34"/>
      <c r="E35" s="34"/>
      <c r="F35" s="34"/>
      <c r="G35" s="34"/>
      <c r="H35" s="1"/>
      <c r="I35" s="449"/>
    </row>
    <row r="36" spans="1:9" ht="16.5" x14ac:dyDescent="0.3">
      <c r="B36" s="34"/>
      <c r="C36" s="34"/>
      <c r="D36" s="34"/>
      <c r="E36" s="34"/>
      <c r="F36" s="34"/>
      <c r="G36" s="34"/>
      <c r="H36" s="1"/>
      <c r="I36" s="450"/>
    </row>
    <row r="37" spans="1:9" ht="16.5" x14ac:dyDescent="0.3">
      <c r="B37" s="34"/>
      <c r="C37" s="34"/>
      <c r="D37" s="34"/>
      <c r="E37" s="36"/>
      <c r="F37" s="34"/>
      <c r="G37" s="34"/>
      <c r="I37" s="450"/>
    </row>
    <row r="38" spans="1:9" x14ac:dyDescent="0.2">
      <c r="A38" s="58"/>
      <c r="B38" s="58"/>
      <c r="C38" s="58"/>
      <c r="D38" s="58"/>
      <c r="E38" s="58"/>
      <c r="F38" s="58"/>
      <c r="G38" s="58"/>
      <c r="H38" s="58"/>
      <c r="I38" s="58"/>
    </row>
    <row r="39" spans="1:9" x14ac:dyDescent="0.2">
      <c r="A39" s="58"/>
      <c r="B39" s="58"/>
      <c r="C39" s="58"/>
      <c r="D39" s="58"/>
      <c r="E39" s="58"/>
      <c r="F39" s="58"/>
      <c r="G39" s="58"/>
      <c r="H39" s="58"/>
      <c r="I39" s="58"/>
    </row>
    <row r="40" spans="1:9" x14ac:dyDescent="0.2">
      <c r="A40" s="58"/>
      <c r="B40" s="58"/>
      <c r="C40" s="58"/>
      <c r="D40" s="58"/>
      <c r="E40" s="58"/>
      <c r="F40" s="58"/>
      <c r="G40" s="58"/>
      <c r="H40" s="58"/>
      <c r="I40" s="58"/>
    </row>
  </sheetData>
  <mergeCells count="5">
    <mergeCell ref="A14:I14"/>
    <mergeCell ref="A3:I3"/>
    <mergeCell ref="A1:I1"/>
    <mergeCell ref="A5:I5"/>
    <mergeCell ref="A6:I6"/>
  </mergeCells>
  <phoneticPr fontId="4" type="noConversion"/>
  <pageMargins left="0.55000000000000004" right="0.27" top="1.36" bottom="1" header="0.5" footer="0.5"/>
  <pageSetup paperSize="9" scale="95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19" zoomScaleNormal="100" workbookViewId="0">
      <selection sqref="A1:D34"/>
    </sheetView>
  </sheetViews>
  <sheetFormatPr defaultColWidth="8" defaultRowHeight="15" x14ac:dyDescent="0.2"/>
  <cols>
    <col min="1" max="1" width="6" style="38" customWidth="1"/>
    <col min="2" max="2" width="35" style="38" customWidth="1"/>
    <col min="3" max="3" width="13.625" style="38" customWidth="1"/>
    <col min="4" max="4" width="15.25" style="38" customWidth="1"/>
    <col min="5" max="16384" width="8" style="38"/>
  </cols>
  <sheetData>
    <row r="1" spans="1:4" ht="18.75" x14ac:dyDescent="0.3">
      <c r="A1" s="576" t="s">
        <v>492</v>
      </c>
      <c r="B1" s="576"/>
      <c r="C1" s="576"/>
      <c r="D1" s="576"/>
    </row>
    <row r="2" spans="1:4" ht="18.75" x14ac:dyDescent="0.3">
      <c r="A2" s="221"/>
      <c r="B2" s="221"/>
      <c r="C2" s="221"/>
      <c r="D2" s="221"/>
    </row>
    <row r="3" spans="1:4" ht="16.5" x14ac:dyDescent="0.3">
      <c r="A3" s="541" t="s">
        <v>493</v>
      </c>
      <c r="B3" s="541"/>
      <c r="C3" s="541"/>
      <c r="D3" s="541"/>
    </row>
    <row r="4" spans="1:4" ht="15.75" x14ac:dyDescent="0.25">
      <c r="A4" s="540" t="s">
        <v>483</v>
      </c>
      <c r="B4" s="580"/>
      <c r="C4" s="580"/>
      <c r="D4" s="580"/>
    </row>
    <row r="5" spans="1:4" ht="45" x14ac:dyDescent="0.25">
      <c r="A5" s="342" t="s">
        <v>285</v>
      </c>
      <c r="B5" s="343" t="s">
        <v>3</v>
      </c>
      <c r="C5" s="397" t="s">
        <v>654</v>
      </c>
      <c r="D5" s="398" t="s">
        <v>653</v>
      </c>
    </row>
    <row r="6" spans="1:4" ht="16.5" x14ac:dyDescent="0.3">
      <c r="A6" s="230">
        <v>1</v>
      </c>
      <c r="B6" s="231" t="s">
        <v>494</v>
      </c>
      <c r="C6" s="470">
        <v>1565505</v>
      </c>
      <c r="D6" s="470">
        <v>13835000</v>
      </c>
    </row>
    <row r="7" spans="1:4" ht="16.5" x14ac:dyDescent="0.3">
      <c r="A7" s="230"/>
      <c r="B7" s="231"/>
      <c r="C7" s="232"/>
      <c r="D7" s="232"/>
    </row>
    <row r="8" spans="1:4" ht="16.5" x14ac:dyDescent="0.3">
      <c r="A8" s="154">
        <v>2</v>
      </c>
      <c r="B8" s="233" t="s">
        <v>495</v>
      </c>
      <c r="C8" s="232">
        <v>0</v>
      </c>
      <c r="D8" s="232" t="s">
        <v>290</v>
      </c>
    </row>
    <row r="9" spans="1:4" ht="16.5" x14ac:dyDescent="0.3">
      <c r="A9" s="154"/>
      <c r="B9" s="447" t="s">
        <v>600</v>
      </c>
      <c r="C9" s="232"/>
      <c r="D9" s="232"/>
    </row>
    <row r="10" spans="1:4" ht="16.5" x14ac:dyDescent="0.3">
      <c r="A10" s="234" t="s">
        <v>198</v>
      </c>
      <c r="B10" s="233" t="s">
        <v>496</v>
      </c>
      <c r="C10" s="232">
        <v>0</v>
      </c>
      <c r="D10" s="232" t="s">
        <v>290</v>
      </c>
    </row>
    <row r="11" spans="1:4" ht="16.5" x14ac:dyDescent="0.3">
      <c r="A11" s="235" t="s">
        <v>199</v>
      </c>
      <c r="B11" s="233" t="s">
        <v>497</v>
      </c>
      <c r="C11" s="232">
        <v>0</v>
      </c>
      <c r="D11" s="232" t="s">
        <v>290</v>
      </c>
    </row>
    <row r="12" spans="1:4" ht="16.5" x14ac:dyDescent="0.3">
      <c r="A12" s="235" t="s">
        <v>201</v>
      </c>
      <c r="B12" s="233" t="s">
        <v>498</v>
      </c>
      <c r="C12" s="232">
        <v>0</v>
      </c>
      <c r="D12" s="232" t="s">
        <v>290</v>
      </c>
    </row>
    <row r="13" spans="1:4" ht="16.5" x14ac:dyDescent="0.3">
      <c r="A13" s="235" t="s">
        <v>203</v>
      </c>
      <c r="B13" s="233" t="s">
        <v>136</v>
      </c>
      <c r="C13" s="232">
        <v>0</v>
      </c>
      <c r="D13" s="232" t="s">
        <v>290</v>
      </c>
    </row>
    <row r="14" spans="1:4" ht="16.5" x14ac:dyDescent="0.3">
      <c r="A14" s="235" t="s">
        <v>205</v>
      </c>
      <c r="B14" s="233" t="s">
        <v>206</v>
      </c>
      <c r="C14" s="232">
        <v>0</v>
      </c>
      <c r="D14" s="232" t="s">
        <v>290</v>
      </c>
    </row>
    <row r="15" spans="1:4" ht="16.5" x14ac:dyDescent="0.3">
      <c r="A15" s="154"/>
      <c r="B15" s="233"/>
      <c r="C15" s="232"/>
      <c r="D15" s="232"/>
    </row>
    <row r="16" spans="1:4" ht="16.5" x14ac:dyDescent="0.3">
      <c r="A16" s="157"/>
      <c r="B16" s="180"/>
      <c r="C16" s="236"/>
      <c r="D16" s="236"/>
    </row>
    <row r="17" spans="1:4" ht="16.5" x14ac:dyDescent="0.3">
      <c r="A17" s="237"/>
      <c r="B17" s="238" t="s">
        <v>499</v>
      </c>
      <c r="C17" s="239" t="s">
        <v>500</v>
      </c>
      <c r="D17" s="239" t="s">
        <v>500</v>
      </c>
    </row>
    <row r="18" spans="1:4" ht="16.5" x14ac:dyDescent="0.3">
      <c r="A18" s="237"/>
      <c r="B18" s="238" t="s">
        <v>76</v>
      </c>
      <c r="C18" s="239">
        <f>SUM(C6:C17)</f>
        <v>1565505</v>
      </c>
      <c r="D18" s="239">
        <f>SUM(D6:D17)</f>
        <v>13835000</v>
      </c>
    </row>
    <row r="19" spans="1:4" ht="16.5" x14ac:dyDescent="0.3">
      <c r="A19" s="57"/>
      <c r="B19" s="36"/>
      <c r="C19" s="36"/>
      <c r="D19" s="57"/>
    </row>
    <row r="20" spans="1:4" ht="15.75" x14ac:dyDescent="0.25">
      <c r="A20" s="57"/>
      <c r="B20" s="57"/>
      <c r="C20" s="57"/>
      <c r="D20" s="57"/>
    </row>
    <row r="21" spans="1:4" ht="15.75" x14ac:dyDescent="0.25">
      <c r="A21" s="57"/>
      <c r="B21" s="57"/>
      <c r="C21" s="57"/>
      <c r="D21" s="57"/>
    </row>
    <row r="22" spans="1:4" ht="15.75" x14ac:dyDescent="0.25">
      <c r="A22" s="57"/>
      <c r="B22" s="57"/>
      <c r="C22" s="57"/>
      <c r="D22" s="57"/>
    </row>
    <row r="23" spans="1:4" ht="15.75" x14ac:dyDescent="0.25">
      <c r="A23" s="57"/>
      <c r="B23" s="57"/>
      <c r="C23" s="57"/>
      <c r="D23" s="57"/>
    </row>
    <row r="24" spans="1:4" ht="15.75" x14ac:dyDescent="0.25">
      <c r="A24" s="350" t="s">
        <v>678</v>
      </c>
      <c r="C24" s="182"/>
      <c r="D24" s="351" t="s">
        <v>606</v>
      </c>
    </row>
    <row r="25" spans="1:4" ht="15.75" x14ac:dyDescent="0.25">
      <c r="A25" s="114" t="s">
        <v>679</v>
      </c>
      <c r="C25" s="182"/>
      <c r="D25" s="352" t="s">
        <v>604</v>
      </c>
    </row>
    <row r="26" spans="1:4" s="60" customFormat="1" x14ac:dyDescent="0.3">
      <c r="A26" s="36"/>
      <c r="B26" s="34"/>
      <c r="C26" s="34"/>
    </row>
    <row r="27" spans="1:4" s="60" customFormat="1" x14ac:dyDescent="0.3">
      <c r="A27" s="36"/>
      <c r="B27" s="34"/>
      <c r="C27" s="34"/>
    </row>
    <row r="28" spans="1:4" s="60" customFormat="1" x14ac:dyDescent="0.3">
      <c r="A28" s="36"/>
      <c r="B28" s="34"/>
      <c r="C28" s="34"/>
    </row>
    <row r="29" spans="1:4" s="60" customFormat="1" x14ac:dyDescent="0.25">
      <c r="A29" s="350" t="s">
        <v>650</v>
      </c>
      <c r="B29" s="7"/>
      <c r="C29" s="17"/>
      <c r="D29"/>
    </row>
    <row r="30" spans="1:4" s="60" customFormat="1" x14ac:dyDescent="0.25">
      <c r="A30" s="114" t="s">
        <v>480</v>
      </c>
      <c r="B30" s="7"/>
      <c r="C30" s="17"/>
      <c r="D30" s="449" t="s">
        <v>605</v>
      </c>
    </row>
    <row r="31" spans="1:4" s="60" customFormat="1" ht="13.5" x14ac:dyDescent="0.25">
      <c r="A31" s="34"/>
      <c r="C31" s="34"/>
      <c r="D31" s="33"/>
    </row>
    <row r="32" spans="1:4" s="60" customFormat="1" ht="13.5" x14ac:dyDescent="0.25">
      <c r="A32" s="34"/>
      <c r="B32" s="34"/>
      <c r="C32" s="34"/>
      <c r="D32" s="34"/>
    </row>
    <row r="33" spans="1:4" s="60" customFormat="1" ht="13.5" x14ac:dyDescent="0.25">
      <c r="A33" s="34" t="s">
        <v>410</v>
      </c>
      <c r="B33" s="34"/>
      <c r="C33" s="34"/>
      <c r="D33" s="34"/>
    </row>
    <row r="34" spans="1:4" s="60" customFormat="1" ht="13.5" x14ac:dyDescent="0.25">
      <c r="A34" s="255" t="s">
        <v>677</v>
      </c>
      <c r="B34" s="34"/>
      <c r="C34" s="34"/>
      <c r="D34" s="34"/>
    </row>
    <row r="35" spans="1:4" s="60" customFormat="1" x14ac:dyDescent="0.3">
      <c r="A35" s="34"/>
      <c r="B35" s="34"/>
      <c r="C35" s="34"/>
      <c r="D35" s="36"/>
    </row>
  </sheetData>
  <mergeCells count="3">
    <mergeCell ref="A4:D4"/>
    <mergeCell ref="A1:D1"/>
    <mergeCell ref="A3:D3"/>
  </mergeCells>
  <phoneticPr fontId="4" type="noConversion"/>
  <pageMargins left="1.03" right="0.57999999999999996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view="pageBreakPreview" topLeftCell="A34" zoomScale="115" zoomScaleNormal="75" zoomScaleSheetLayoutView="115" workbookViewId="0">
      <selection activeCell="C45" sqref="C45"/>
    </sheetView>
  </sheetViews>
  <sheetFormatPr defaultRowHeight="14.25" x14ac:dyDescent="0.2"/>
  <cols>
    <col min="1" max="1" width="36.125" customWidth="1"/>
    <col min="2" max="2" width="14.75" bestFit="1" customWidth="1"/>
    <col min="3" max="3" width="15.25" bestFit="1" customWidth="1"/>
    <col min="4" max="4" width="14.75" bestFit="1" customWidth="1"/>
    <col min="5" max="5" width="14.875" bestFit="1" customWidth="1"/>
    <col min="6" max="6" width="13.5" customWidth="1"/>
    <col min="9" max="9" width="11.375" bestFit="1" customWidth="1"/>
  </cols>
  <sheetData>
    <row r="1" spans="1:9" ht="18.75" x14ac:dyDescent="0.3">
      <c r="A1" s="508" t="s">
        <v>2</v>
      </c>
      <c r="B1" s="508"/>
      <c r="C1" s="508"/>
      <c r="D1" s="509"/>
      <c r="E1" s="509"/>
    </row>
    <row r="2" spans="1:9" ht="16.5" x14ac:dyDescent="0.3">
      <c r="A2" s="92"/>
      <c r="B2" s="92"/>
      <c r="C2" s="92"/>
      <c r="D2" s="63"/>
      <c r="E2" s="63"/>
    </row>
    <row r="3" spans="1:9" ht="16.5" x14ac:dyDescent="0.3">
      <c r="A3" s="506" t="s">
        <v>14</v>
      </c>
      <c r="B3" s="506"/>
      <c r="C3" s="506"/>
      <c r="D3" s="507"/>
      <c r="E3" s="507"/>
    </row>
    <row r="4" spans="1:9" ht="16.5" x14ac:dyDescent="0.3">
      <c r="A4" s="63"/>
      <c r="B4" s="63"/>
      <c r="C4" s="63"/>
      <c r="D4" s="63"/>
      <c r="E4" s="63"/>
    </row>
    <row r="5" spans="1:9" ht="15" x14ac:dyDescent="0.25">
      <c r="A5" s="510" t="s">
        <v>3</v>
      </c>
      <c r="B5" s="516" t="s">
        <v>623</v>
      </c>
      <c r="C5" s="514"/>
      <c r="D5" s="516" t="s">
        <v>623</v>
      </c>
      <c r="E5" s="514"/>
    </row>
    <row r="6" spans="1:9" ht="15" x14ac:dyDescent="0.25">
      <c r="A6" s="511"/>
      <c r="B6" s="512" t="s">
        <v>589</v>
      </c>
      <c r="C6" s="513"/>
      <c r="D6" s="514" t="s">
        <v>591</v>
      </c>
      <c r="E6" s="515"/>
    </row>
    <row r="7" spans="1:9" ht="16.5" x14ac:dyDescent="0.3">
      <c r="A7" s="71"/>
      <c r="B7" s="83"/>
      <c r="C7" s="83"/>
      <c r="D7" s="303"/>
      <c r="E7" s="303"/>
    </row>
    <row r="8" spans="1:9" ht="16.5" x14ac:dyDescent="0.3">
      <c r="A8" s="116" t="s">
        <v>0</v>
      </c>
      <c r="B8" s="84"/>
      <c r="C8" s="84"/>
      <c r="D8" s="104"/>
      <c r="E8" s="104"/>
    </row>
    <row r="9" spans="1:9" ht="16.5" x14ac:dyDescent="0.3">
      <c r="A9" s="67" t="s">
        <v>15</v>
      </c>
      <c r="B9" s="124">
        <f>+'Form G'!E32</f>
        <v>393218432.20517176</v>
      </c>
      <c r="C9" s="199"/>
      <c r="D9" s="198">
        <f>ROUND('Form G'!I32,-3)</f>
        <v>452361000</v>
      </c>
      <c r="E9" s="298"/>
    </row>
    <row r="10" spans="1:9" ht="16.5" x14ac:dyDescent="0.3">
      <c r="A10" s="67"/>
      <c r="B10" s="74"/>
      <c r="C10" s="74"/>
      <c r="D10" s="199"/>
      <c r="E10" s="299"/>
    </row>
    <row r="11" spans="1:9" ht="16.5" x14ac:dyDescent="0.3">
      <c r="A11" s="67" t="s">
        <v>16</v>
      </c>
      <c r="B11" s="304">
        <v>0</v>
      </c>
      <c r="C11" s="74"/>
      <c r="D11" s="304">
        <v>0</v>
      </c>
      <c r="E11" s="299"/>
    </row>
    <row r="12" spans="1:9" ht="16.5" x14ac:dyDescent="0.3">
      <c r="A12" s="67"/>
      <c r="B12" s="74"/>
      <c r="C12" s="74"/>
      <c r="D12" s="199"/>
      <c r="E12" s="300"/>
    </row>
    <row r="13" spans="1:9" ht="16.5" x14ac:dyDescent="0.3">
      <c r="A13" s="67" t="s">
        <v>376</v>
      </c>
      <c r="B13" s="304">
        <f>'Form I'!C40</f>
        <v>4202397</v>
      </c>
      <c r="C13" s="74"/>
      <c r="D13" s="305">
        <f>'Form I'!D40</f>
        <v>2040000</v>
      </c>
      <c r="E13" s="298"/>
      <c r="I13" s="9"/>
    </row>
    <row r="14" spans="1:9" ht="16.5" x14ac:dyDescent="0.3">
      <c r="A14" s="67"/>
      <c r="B14" s="74"/>
      <c r="C14" s="74"/>
      <c r="D14" s="199"/>
      <c r="E14" s="299"/>
    </row>
    <row r="15" spans="1:9" ht="17.25" thickBot="1" x14ac:dyDescent="0.35">
      <c r="A15" s="67" t="s">
        <v>139</v>
      </c>
      <c r="B15" s="311">
        <f>SUM(B9:B14)</f>
        <v>397420829.20517176</v>
      </c>
      <c r="C15" s="126">
        <f>+B15</f>
        <v>397420829.20517176</v>
      </c>
      <c r="D15" s="306">
        <f>SUM(D9:D14)</f>
        <v>454401000</v>
      </c>
      <c r="E15" s="301">
        <f>SUM(D9:D13)</f>
        <v>454401000</v>
      </c>
    </row>
    <row r="16" spans="1:9" ht="17.25" thickTop="1" x14ac:dyDescent="0.3">
      <c r="A16" s="67"/>
      <c r="B16" s="74"/>
      <c r="C16" s="199"/>
      <c r="D16" s="199"/>
      <c r="E16" s="299"/>
    </row>
    <row r="17" spans="1:7" ht="16.5" x14ac:dyDescent="0.3">
      <c r="A17" s="67"/>
      <c r="B17" s="199"/>
      <c r="C17" s="74"/>
      <c r="D17" s="199"/>
      <c r="E17" s="299"/>
    </row>
    <row r="18" spans="1:7" ht="16.5" x14ac:dyDescent="0.3">
      <c r="A18" s="116" t="s">
        <v>1</v>
      </c>
      <c r="B18" s="84"/>
      <c r="C18" s="84"/>
      <c r="D18" s="199"/>
      <c r="E18" s="299"/>
    </row>
    <row r="19" spans="1:7" ht="16.5" x14ac:dyDescent="0.3">
      <c r="A19" s="67" t="s">
        <v>18</v>
      </c>
      <c r="B19" s="124">
        <f>+'Form J'!E49</f>
        <v>13989350</v>
      </c>
      <c r="C19" s="74"/>
      <c r="D19" s="198">
        <f>'Form J'!H49</f>
        <v>19670000</v>
      </c>
      <c r="E19" s="298"/>
    </row>
    <row r="20" spans="1:7" ht="16.5" x14ac:dyDescent="0.3">
      <c r="A20" s="67"/>
      <c r="B20" s="124"/>
      <c r="C20" s="74"/>
      <c r="D20" s="198"/>
      <c r="E20" s="298"/>
    </row>
    <row r="21" spans="1:7" ht="16.5" x14ac:dyDescent="0.3">
      <c r="A21" s="67" t="s">
        <v>19</v>
      </c>
      <c r="B21" s="124">
        <f>+'Form K'!C23</f>
        <v>2227763</v>
      </c>
      <c r="C21" s="74"/>
      <c r="D21" s="198">
        <f>'Form K'!D23</f>
        <v>1727000</v>
      </c>
      <c r="E21" s="298"/>
    </row>
    <row r="22" spans="1:7" ht="16.5" x14ac:dyDescent="0.3">
      <c r="A22" s="67"/>
      <c r="B22" s="124"/>
      <c r="C22" s="74"/>
      <c r="D22" s="198"/>
      <c r="E22" s="298"/>
    </row>
    <row r="23" spans="1:7" ht="16.5" x14ac:dyDescent="0.3">
      <c r="A23" s="67" t="s">
        <v>20</v>
      </c>
      <c r="B23" s="124">
        <f>+'Form M'!C38</f>
        <v>9903170.1799999997</v>
      </c>
      <c r="C23" s="74"/>
      <c r="D23" s="198">
        <f>'Form M'!D38</f>
        <v>6137000</v>
      </c>
      <c r="E23" s="298"/>
    </row>
    <row r="24" spans="1:7" ht="16.5" x14ac:dyDescent="0.3">
      <c r="A24" s="67"/>
      <c r="B24" s="124"/>
      <c r="C24" s="74"/>
      <c r="D24" s="198"/>
      <c r="E24" s="298"/>
    </row>
    <row r="25" spans="1:7" ht="16.5" x14ac:dyDescent="0.3">
      <c r="A25" s="67" t="s">
        <v>21</v>
      </c>
      <c r="B25" s="124">
        <f>'Form N'!D24</f>
        <v>10453720</v>
      </c>
      <c r="C25" s="74"/>
      <c r="D25" s="198">
        <f>ROUND('Form N'!H24,-3)</f>
        <v>14540000</v>
      </c>
      <c r="E25" s="298"/>
    </row>
    <row r="26" spans="1:7" ht="16.5" x14ac:dyDescent="0.3">
      <c r="A26" s="67"/>
      <c r="B26" s="124"/>
      <c r="C26" s="74"/>
      <c r="D26" s="198"/>
      <c r="E26" s="298"/>
    </row>
    <row r="27" spans="1:7" ht="16.5" x14ac:dyDescent="0.3">
      <c r="A27" s="132" t="s">
        <v>141</v>
      </c>
      <c r="B27" s="312">
        <f>+'Form O'!C17</f>
        <v>6885627.3100000005</v>
      </c>
      <c r="C27" s="302"/>
      <c r="D27" s="198">
        <f>'Form O'!D17</f>
        <v>14988000</v>
      </c>
      <c r="E27" s="298"/>
      <c r="F27" s="1"/>
      <c r="G27" s="1"/>
    </row>
    <row r="28" spans="1:7" ht="16.5" x14ac:dyDescent="0.3">
      <c r="A28" s="67"/>
      <c r="B28" s="124"/>
      <c r="C28" s="74"/>
      <c r="D28" s="198"/>
      <c r="E28" s="298"/>
    </row>
    <row r="29" spans="1:7" ht="16.5" x14ac:dyDescent="0.3">
      <c r="A29" s="139" t="s">
        <v>22</v>
      </c>
      <c r="B29" s="313">
        <f>SUM(B19:B28)</f>
        <v>43459630.490000002</v>
      </c>
      <c r="C29" s="314"/>
      <c r="D29" s="315">
        <f>SUM(D19:D28)</f>
        <v>57062000</v>
      </c>
      <c r="E29" s="298"/>
    </row>
    <row r="30" spans="1:7" ht="16.5" x14ac:dyDescent="0.3">
      <c r="A30" s="132"/>
      <c r="B30" s="312"/>
      <c r="C30" s="302"/>
      <c r="D30" s="199"/>
      <c r="E30" s="299"/>
    </row>
    <row r="31" spans="1:7" ht="16.5" x14ac:dyDescent="0.3">
      <c r="A31" s="67" t="s">
        <v>23</v>
      </c>
      <c r="B31" s="124"/>
      <c r="C31" s="74"/>
      <c r="D31" s="199"/>
      <c r="E31" s="299"/>
    </row>
    <row r="32" spans="1:7" ht="16.5" x14ac:dyDescent="0.3">
      <c r="A32" s="67"/>
      <c r="B32" s="124"/>
      <c r="C32" s="74"/>
      <c r="D32" s="199"/>
      <c r="E32" s="299"/>
    </row>
    <row r="33" spans="1:6" ht="16.5" x14ac:dyDescent="0.3">
      <c r="A33" s="132" t="s">
        <v>24</v>
      </c>
      <c r="B33" s="312"/>
      <c r="C33" s="302"/>
      <c r="D33" s="198"/>
      <c r="E33" s="299"/>
    </row>
    <row r="34" spans="1:6" ht="16.5" x14ac:dyDescent="0.3">
      <c r="A34" s="132" t="s">
        <v>417</v>
      </c>
      <c r="B34" s="312">
        <f>'Form T'!D26</f>
        <v>-175571</v>
      </c>
      <c r="C34" s="302"/>
      <c r="D34" s="198">
        <f>'Form T'!E26</f>
        <v>0</v>
      </c>
      <c r="E34" s="299"/>
    </row>
    <row r="35" spans="1:6" ht="16.5" x14ac:dyDescent="0.3">
      <c r="A35" s="67" t="s">
        <v>504</v>
      </c>
      <c r="B35" s="124"/>
      <c r="C35" s="74"/>
      <c r="D35" s="199"/>
      <c r="E35" s="299"/>
    </row>
    <row r="36" spans="1:6" ht="16.5" x14ac:dyDescent="0.3">
      <c r="A36" s="67" t="s">
        <v>569</v>
      </c>
      <c r="B36" s="124">
        <f>'Form S'!C7</f>
        <v>0</v>
      </c>
      <c r="C36" s="74"/>
      <c r="D36" s="199">
        <f>'Form S'!D11</f>
        <v>0</v>
      </c>
      <c r="E36" s="299"/>
    </row>
    <row r="37" spans="1:6" ht="16.5" x14ac:dyDescent="0.3">
      <c r="A37" s="383" t="s">
        <v>570</v>
      </c>
      <c r="B37" s="124"/>
      <c r="C37" s="74"/>
      <c r="D37" s="199"/>
      <c r="E37" s="299"/>
    </row>
    <row r="38" spans="1:6" ht="16.5" x14ac:dyDescent="0.3">
      <c r="A38" s="132" t="s">
        <v>25</v>
      </c>
      <c r="B38" s="312">
        <f>'Form F'!L11</f>
        <v>393979264.39250004</v>
      </c>
      <c r="C38" s="428"/>
      <c r="D38" s="198">
        <f>'Form F'!L20</f>
        <v>417203000</v>
      </c>
      <c r="E38" s="298"/>
    </row>
    <row r="39" spans="1:6" ht="16.5" x14ac:dyDescent="0.3">
      <c r="A39" s="67"/>
      <c r="B39" s="124"/>
      <c r="C39" s="74"/>
      <c r="D39" s="199"/>
      <c r="E39" s="299"/>
    </row>
    <row r="40" spans="1:6" ht="17.25" thickBot="1" x14ac:dyDescent="0.35">
      <c r="A40" s="67" t="s">
        <v>26</v>
      </c>
      <c r="B40" s="316">
        <f>SUM(B29:B39)</f>
        <v>437263323.88250005</v>
      </c>
      <c r="C40" s="317">
        <f>+B40</f>
        <v>437263323.88250005</v>
      </c>
      <c r="D40" s="306">
        <f>SUM(D29:D38)</f>
        <v>474265000</v>
      </c>
      <c r="E40" s="301">
        <f>D40</f>
        <v>474265000</v>
      </c>
    </row>
    <row r="41" spans="1:6" ht="17.25" thickTop="1" x14ac:dyDescent="0.3">
      <c r="A41" s="67"/>
      <c r="B41" s="74"/>
      <c r="C41" s="74"/>
      <c r="D41" s="104"/>
      <c r="E41" s="299"/>
    </row>
    <row r="42" spans="1:6" ht="16.5" x14ac:dyDescent="0.3">
      <c r="A42" s="69"/>
      <c r="B42" s="75"/>
      <c r="C42" s="75"/>
      <c r="D42" s="307"/>
      <c r="E42" s="308"/>
    </row>
    <row r="43" spans="1:6" ht="16.5" x14ac:dyDescent="0.3">
      <c r="A43" s="121" t="s">
        <v>140</v>
      </c>
      <c r="B43" s="309"/>
      <c r="C43" s="318">
        <f>+C15-C40</f>
        <v>-39842494.677328289</v>
      </c>
      <c r="D43" s="310"/>
      <c r="E43" s="274">
        <f>E15-E40</f>
        <v>-19864000</v>
      </c>
      <c r="F43" s="10"/>
    </row>
    <row r="44" spans="1:6" ht="16.5" x14ac:dyDescent="0.3">
      <c r="A44" s="131"/>
      <c r="B44" s="70"/>
      <c r="C44" s="70"/>
      <c r="D44" s="70"/>
      <c r="E44" s="75"/>
    </row>
    <row r="45" spans="1:6" ht="16.5" x14ac:dyDescent="0.3">
      <c r="A45" s="63"/>
      <c r="B45" s="63"/>
      <c r="C45" s="349"/>
      <c r="D45" s="63"/>
      <c r="E45" s="63"/>
    </row>
    <row r="46" spans="1:6" ht="16.5" x14ac:dyDescent="0.3">
      <c r="A46" s="63"/>
      <c r="B46" s="63"/>
      <c r="C46" s="349"/>
      <c r="D46" s="63"/>
      <c r="E46" s="423"/>
    </row>
    <row r="47" spans="1:6" ht="16.5" x14ac:dyDescent="0.3">
      <c r="A47" s="63"/>
      <c r="B47" s="63"/>
      <c r="C47" s="63"/>
      <c r="D47" s="63"/>
      <c r="E47" s="80"/>
    </row>
    <row r="48" spans="1:6" ht="16.5" x14ac:dyDescent="0.3">
      <c r="A48" s="350" t="s">
        <v>678</v>
      </c>
      <c r="B48" s="82"/>
      <c r="C48" s="63"/>
      <c r="D48" s="63"/>
      <c r="E48" s="351" t="s">
        <v>606</v>
      </c>
    </row>
    <row r="49" spans="1:5" ht="16.5" x14ac:dyDescent="0.3">
      <c r="A49" s="114" t="s">
        <v>679</v>
      </c>
      <c r="B49" s="82"/>
      <c r="C49" s="63"/>
      <c r="D49" s="100"/>
      <c r="E49" s="352" t="s">
        <v>604</v>
      </c>
    </row>
    <row r="50" spans="1:5" ht="14.25" customHeight="1" x14ac:dyDescent="0.3">
      <c r="D50" s="10"/>
      <c r="E50" s="80"/>
    </row>
    <row r="51" spans="1:5" ht="14.25" customHeight="1" x14ac:dyDescent="0.3">
      <c r="D51" s="10"/>
      <c r="E51" s="80"/>
    </row>
    <row r="52" spans="1:5" ht="14.25" customHeight="1" x14ac:dyDescent="0.3">
      <c r="D52" s="10"/>
      <c r="E52" s="80"/>
    </row>
    <row r="53" spans="1:5" ht="14.25" customHeight="1" x14ac:dyDescent="0.3">
      <c r="D53" s="10"/>
      <c r="E53" s="80"/>
    </row>
    <row r="54" spans="1:5" ht="14.25" customHeight="1" x14ac:dyDescent="0.3">
      <c r="D54" s="10"/>
      <c r="E54" s="80"/>
    </row>
    <row r="55" spans="1:5" ht="14.25" customHeight="1" x14ac:dyDescent="0.25">
      <c r="A55" s="350" t="s">
        <v>650</v>
      </c>
      <c r="B55" s="7"/>
      <c r="C55" s="17"/>
      <c r="E55" s="449" t="s">
        <v>605</v>
      </c>
    </row>
    <row r="56" spans="1:5" ht="14.25" customHeight="1" x14ac:dyDescent="0.25">
      <c r="A56" s="114" t="s">
        <v>480</v>
      </c>
      <c r="B56" s="7"/>
      <c r="C56" s="17"/>
      <c r="E56" s="352"/>
    </row>
    <row r="57" spans="1:5" ht="14.25" customHeight="1" x14ac:dyDescent="0.2">
      <c r="D57" s="10"/>
    </row>
    <row r="58" spans="1:5" ht="15" x14ac:dyDescent="0.25">
      <c r="E58" s="449"/>
    </row>
    <row r="59" spans="1:5" ht="15" x14ac:dyDescent="0.25">
      <c r="E59" s="449"/>
    </row>
    <row r="60" spans="1:5" ht="15.75" x14ac:dyDescent="0.3">
      <c r="A60" s="34" t="s">
        <v>410</v>
      </c>
      <c r="E60" s="450"/>
    </row>
    <row r="61" spans="1:5" ht="15.75" x14ac:dyDescent="0.3">
      <c r="A61" s="255" t="s">
        <v>677</v>
      </c>
      <c r="E61" s="450"/>
    </row>
  </sheetData>
  <mergeCells count="7">
    <mergeCell ref="A3:E3"/>
    <mergeCell ref="A1:E1"/>
    <mergeCell ref="A5:A6"/>
    <mergeCell ref="B6:C6"/>
    <mergeCell ref="D6:E6"/>
    <mergeCell ref="B5:C5"/>
    <mergeCell ref="D5:E5"/>
  </mergeCells>
  <phoneticPr fontId="0" type="noConversion"/>
  <printOptions horizontalCentered="1"/>
  <pageMargins left="0.2" right="0.28999999999999998" top="0.25" bottom="0.43110236200000002" header="0.59" footer="0.511811023622047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topLeftCell="A13" zoomScaleNormal="100" workbookViewId="0">
      <selection sqref="A1:D28"/>
    </sheetView>
  </sheetViews>
  <sheetFormatPr defaultColWidth="8" defaultRowHeight="15" x14ac:dyDescent="0.2"/>
  <cols>
    <col min="1" max="1" width="5.625" style="38" customWidth="1"/>
    <col min="2" max="2" width="28.875" style="38" customWidth="1"/>
    <col min="3" max="3" width="14.375" style="38" customWidth="1"/>
    <col min="4" max="4" width="13.75" style="38" customWidth="1"/>
    <col min="5" max="16384" width="8" style="38"/>
  </cols>
  <sheetData>
    <row r="1" spans="1:4" ht="18.75" x14ac:dyDescent="0.3">
      <c r="A1" s="576" t="s">
        <v>501</v>
      </c>
      <c r="B1" s="576"/>
      <c r="C1" s="576"/>
      <c r="D1" s="576"/>
    </row>
    <row r="2" spans="1:4" ht="16.5" x14ac:dyDescent="0.3">
      <c r="A2" s="37"/>
      <c r="B2" s="37"/>
      <c r="C2" s="37"/>
    </row>
    <row r="3" spans="1:4" ht="16.5" x14ac:dyDescent="0.3">
      <c r="A3" s="541" t="s">
        <v>502</v>
      </c>
      <c r="B3" s="541"/>
      <c r="C3" s="541"/>
      <c r="D3" s="541"/>
    </row>
    <row r="4" spans="1:4" ht="15.75" x14ac:dyDescent="0.25">
      <c r="A4" s="540" t="s">
        <v>483</v>
      </c>
      <c r="B4" s="540"/>
      <c r="C4" s="540"/>
      <c r="D4" s="540"/>
    </row>
    <row r="5" spans="1:4" ht="45" x14ac:dyDescent="0.25">
      <c r="A5" s="342" t="s">
        <v>285</v>
      </c>
      <c r="B5" s="343" t="s">
        <v>3</v>
      </c>
      <c r="C5" s="397" t="s">
        <v>654</v>
      </c>
      <c r="D5" s="398" t="s">
        <v>653</v>
      </c>
    </row>
    <row r="6" spans="1:4" ht="16.5" x14ac:dyDescent="0.3">
      <c r="A6" s="230">
        <v>1</v>
      </c>
      <c r="B6" s="231"/>
      <c r="C6" s="240"/>
      <c r="D6" s="240"/>
    </row>
    <row r="7" spans="1:4" ht="16.5" x14ac:dyDescent="0.3">
      <c r="A7" s="154">
        <v>2</v>
      </c>
      <c r="B7" s="233"/>
      <c r="C7" s="233"/>
      <c r="D7" s="233"/>
    </row>
    <row r="8" spans="1:4" ht="16.5" x14ac:dyDescent="0.3">
      <c r="A8" s="154">
        <v>3</v>
      </c>
      <c r="B8" s="233"/>
      <c r="C8" s="156"/>
      <c r="D8" s="156"/>
    </row>
    <row r="9" spans="1:4" ht="16.5" x14ac:dyDescent="0.3">
      <c r="A9" s="154">
        <v>4</v>
      </c>
      <c r="B9" s="233"/>
      <c r="C9" s="233"/>
      <c r="D9" s="233"/>
    </row>
    <row r="10" spans="1:4" ht="16.5" x14ac:dyDescent="0.3">
      <c r="A10" s="154">
        <v>5</v>
      </c>
      <c r="B10" s="233"/>
      <c r="C10" s="233"/>
      <c r="D10" s="233"/>
    </row>
    <row r="11" spans="1:4" ht="16.5" x14ac:dyDescent="0.3">
      <c r="A11" s="241"/>
      <c r="B11" s="238" t="s">
        <v>76</v>
      </c>
      <c r="C11" s="242"/>
      <c r="D11" s="242"/>
    </row>
    <row r="12" spans="1:4" ht="15.75" x14ac:dyDescent="0.25">
      <c r="A12" s="57"/>
      <c r="B12" s="57"/>
      <c r="C12" s="57"/>
    </row>
    <row r="13" spans="1:4" ht="15.75" x14ac:dyDescent="0.25">
      <c r="A13" s="57"/>
      <c r="B13" s="57"/>
      <c r="C13" s="57"/>
    </row>
    <row r="14" spans="1:4" ht="15.75" x14ac:dyDescent="0.25">
      <c r="A14" s="57"/>
      <c r="B14" s="57"/>
      <c r="C14" s="57"/>
    </row>
    <row r="15" spans="1:4" ht="15.75" x14ac:dyDescent="0.25">
      <c r="A15" s="57"/>
      <c r="B15" s="57"/>
      <c r="C15" s="57"/>
    </row>
    <row r="16" spans="1:4" s="60" customFormat="1" x14ac:dyDescent="0.3">
      <c r="A16" s="36"/>
      <c r="B16" s="61"/>
      <c r="C16" s="34"/>
    </row>
    <row r="17" spans="1:4" s="60" customFormat="1" x14ac:dyDescent="0.25">
      <c r="A17" s="350" t="s">
        <v>678</v>
      </c>
      <c r="C17" s="34"/>
      <c r="D17" s="351" t="s">
        <v>606</v>
      </c>
    </row>
    <row r="18" spans="1:4" s="60" customFormat="1" x14ac:dyDescent="0.25">
      <c r="A18" s="114" t="s">
        <v>679</v>
      </c>
      <c r="C18" s="34"/>
      <c r="D18" s="352" t="s">
        <v>604</v>
      </c>
    </row>
    <row r="19" spans="1:4" s="60" customFormat="1" x14ac:dyDescent="0.25">
      <c r="A19" s="114"/>
      <c r="C19" s="34"/>
      <c r="D19" s="352"/>
    </row>
    <row r="20" spans="1:4" s="60" customFormat="1" ht="13.5" x14ac:dyDescent="0.25">
      <c r="A20" s="34"/>
      <c r="C20" s="34"/>
    </row>
    <row r="21" spans="1:4" s="60" customFormat="1" ht="13.5" x14ac:dyDescent="0.25">
      <c r="A21" s="34"/>
      <c r="C21" s="34"/>
    </row>
    <row r="22" spans="1:4" s="60" customFormat="1" ht="13.5" x14ac:dyDescent="0.25">
      <c r="A22" s="34"/>
      <c r="C22" s="34"/>
    </row>
    <row r="23" spans="1:4" s="60" customFormat="1" x14ac:dyDescent="0.25">
      <c r="A23" s="350" t="s">
        <v>650</v>
      </c>
      <c r="B23" s="7"/>
      <c r="C23" s="17"/>
      <c r="D23"/>
    </row>
    <row r="24" spans="1:4" s="60" customFormat="1" x14ac:dyDescent="0.25">
      <c r="A24" s="114" t="s">
        <v>480</v>
      </c>
      <c r="B24" s="7"/>
      <c r="C24" s="17"/>
      <c r="D24" s="449" t="s">
        <v>605</v>
      </c>
    </row>
    <row r="25" spans="1:4" s="60" customFormat="1" ht="16.5" x14ac:dyDescent="0.3">
      <c r="C25" s="33"/>
      <c r="D25" s="63"/>
    </row>
    <row r="26" spans="1:4" s="60" customFormat="1" ht="15.75" x14ac:dyDescent="0.3">
      <c r="A26" s="34"/>
      <c r="C26" s="36"/>
      <c r="D26" s="1"/>
    </row>
    <row r="27" spans="1:4" ht="15.75" x14ac:dyDescent="0.25">
      <c r="A27" s="34" t="s">
        <v>410</v>
      </c>
      <c r="D27" s="1"/>
    </row>
    <row r="28" spans="1:4" ht="15.75" x14ac:dyDescent="0.25">
      <c r="A28" s="255" t="s">
        <v>677</v>
      </c>
    </row>
  </sheetData>
  <mergeCells count="3">
    <mergeCell ref="A3:D3"/>
    <mergeCell ref="A1:D1"/>
    <mergeCell ref="A4:D4"/>
  </mergeCells>
  <phoneticPr fontId="4" type="noConversion"/>
  <pageMargins left="1.45" right="0.75" top="1" bottom="1" header="0.5" footer="0.5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="60" zoomScaleNormal="115" workbookViewId="0">
      <selection activeCell="D16" sqref="D16:D22"/>
    </sheetView>
  </sheetViews>
  <sheetFormatPr defaultRowHeight="14.25" x14ac:dyDescent="0.2"/>
  <cols>
    <col min="1" max="1" width="4.5" customWidth="1"/>
    <col min="2" max="2" width="34.875" bestFit="1" customWidth="1"/>
    <col min="3" max="3" width="15.625" customWidth="1"/>
    <col min="4" max="4" width="14.75" customWidth="1"/>
  </cols>
  <sheetData>
    <row r="1" spans="1:5" ht="18.75" x14ac:dyDescent="0.3">
      <c r="A1" s="517" t="s">
        <v>349</v>
      </c>
      <c r="B1" s="517"/>
      <c r="C1" s="517"/>
      <c r="D1" s="517"/>
    </row>
    <row r="2" spans="1:5" ht="15" x14ac:dyDescent="0.25">
      <c r="A2" s="321"/>
      <c r="B2" s="321"/>
      <c r="C2" s="321"/>
      <c r="D2" s="321"/>
    </row>
    <row r="3" spans="1:5" ht="16.5" x14ac:dyDescent="0.3">
      <c r="A3" s="518" t="s">
        <v>350</v>
      </c>
      <c r="B3" s="518"/>
      <c r="C3" s="518"/>
      <c r="D3" s="518"/>
    </row>
    <row r="4" spans="1:5" ht="15" x14ac:dyDescent="0.25">
      <c r="A4" s="567" t="s">
        <v>252</v>
      </c>
      <c r="B4" s="567"/>
      <c r="C4" s="567"/>
      <c r="D4" s="567"/>
    </row>
    <row r="5" spans="1:5" ht="45.75" x14ac:dyDescent="0.3">
      <c r="A5" s="344" t="s">
        <v>285</v>
      </c>
      <c r="B5" s="188" t="s">
        <v>3</v>
      </c>
      <c r="C5" s="397" t="s">
        <v>654</v>
      </c>
      <c r="D5" s="398" t="s">
        <v>653</v>
      </c>
      <c r="E5" s="73"/>
    </row>
    <row r="6" spans="1:5" ht="16.5" x14ac:dyDescent="0.3">
      <c r="A6" s="193"/>
      <c r="B6" s="116"/>
      <c r="C6" s="123"/>
      <c r="D6" s="123"/>
      <c r="E6" s="73"/>
    </row>
    <row r="7" spans="1:5" ht="16.5" x14ac:dyDescent="0.3">
      <c r="A7" s="193">
        <v>1</v>
      </c>
      <c r="B7" s="67"/>
      <c r="C7" s="123"/>
      <c r="D7" s="123"/>
      <c r="E7" s="73"/>
    </row>
    <row r="8" spans="1:5" ht="16.5" x14ac:dyDescent="0.3">
      <c r="A8" s="193">
        <v>2</v>
      </c>
      <c r="B8" s="67"/>
      <c r="C8" s="123"/>
      <c r="D8" s="123"/>
      <c r="E8" s="73"/>
    </row>
    <row r="9" spans="1:5" ht="16.5" x14ac:dyDescent="0.3">
      <c r="A9" s="193">
        <v>3</v>
      </c>
      <c r="B9" s="67"/>
      <c r="C9" s="123"/>
      <c r="D9" s="123"/>
      <c r="E9" s="73"/>
    </row>
    <row r="10" spans="1:5" ht="16.5" x14ac:dyDescent="0.3">
      <c r="A10" s="193">
        <v>4</v>
      </c>
      <c r="B10" s="67"/>
      <c r="C10" s="123"/>
      <c r="D10" s="123"/>
      <c r="E10" s="73"/>
    </row>
    <row r="11" spans="1:5" ht="16.5" x14ac:dyDescent="0.3">
      <c r="A11" s="194"/>
      <c r="B11" s="121" t="s">
        <v>571</v>
      </c>
      <c r="C11" s="384">
        <f>SUM(C7:C10)</f>
        <v>0</v>
      </c>
      <c r="D11" s="384">
        <f>-SUM(D7:D10)</f>
        <v>0</v>
      </c>
      <c r="E11" s="73"/>
    </row>
    <row r="12" spans="1:5" ht="16.5" x14ac:dyDescent="0.3">
      <c r="A12" s="144" t="s">
        <v>351</v>
      </c>
      <c r="B12" s="144"/>
      <c r="C12" s="144"/>
      <c r="D12" s="243"/>
    </row>
    <row r="13" spans="1:5" ht="16.5" x14ac:dyDescent="0.3">
      <c r="A13" s="63"/>
      <c r="B13" s="63"/>
      <c r="C13" s="63"/>
      <c r="D13" s="63"/>
    </row>
    <row r="14" spans="1:5" ht="16.5" x14ac:dyDescent="0.3">
      <c r="A14" s="63"/>
      <c r="B14" s="63"/>
      <c r="C14" s="63"/>
      <c r="D14" s="63"/>
    </row>
    <row r="15" spans="1:5" ht="16.5" x14ac:dyDescent="0.3">
      <c r="A15" s="63"/>
      <c r="B15" s="63"/>
      <c r="C15" s="63"/>
      <c r="D15" s="63"/>
    </row>
    <row r="16" spans="1:5" ht="16.5" x14ac:dyDescent="0.3">
      <c r="A16" s="350" t="s">
        <v>678</v>
      </c>
      <c r="C16" s="63"/>
      <c r="D16" s="351" t="s">
        <v>606</v>
      </c>
    </row>
    <row r="17" spans="1:5" ht="16.5" x14ac:dyDescent="0.3">
      <c r="A17" s="114" t="s">
        <v>679</v>
      </c>
      <c r="C17" s="63"/>
      <c r="D17" s="352" t="s">
        <v>604</v>
      </c>
    </row>
    <row r="21" spans="1:5" ht="15" x14ac:dyDescent="0.25">
      <c r="A21" s="350" t="s">
        <v>650</v>
      </c>
      <c r="B21" s="7"/>
      <c r="C21" s="17"/>
    </row>
    <row r="22" spans="1:5" ht="15" x14ac:dyDescent="0.25">
      <c r="A22" s="114" t="s">
        <v>480</v>
      </c>
      <c r="B22" s="7"/>
      <c r="C22" s="17"/>
      <c r="D22" s="449" t="s">
        <v>605</v>
      </c>
    </row>
    <row r="23" spans="1:5" ht="16.5" x14ac:dyDescent="0.3">
      <c r="D23" s="63"/>
      <c r="E23" s="449"/>
    </row>
    <row r="24" spans="1:5" ht="15" x14ac:dyDescent="0.25">
      <c r="D24" s="1"/>
      <c r="E24" s="449"/>
    </row>
    <row r="25" spans="1:5" ht="15.75" x14ac:dyDescent="0.3">
      <c r="A25" s="34" t="s">
        <v>410</v>
      </c>
      <c r="C25" s="7"/>
      <c r="D25" s="1"/>
      <c r="E25" s="450"/>
    </row>
    <row r="26" spans="1:5" ht="15.75" x14ac:dyDescent="0.3">
      <c r="A26" s="255" t="s">
        <v>677</v>
      </c>
      <c r="C26" s="7"/>
      <c r="E26" s="450"/>
    </row>
  </sheetData>
  <mergeCells count="3">
    <mergeCell ref="A1:D1"/>
    <mergeCell ref="A3:D3"/>
    <mergeCell ref="A4:D4"/>
  </mergeCells>
  <phoneticPr fontId="6" type="noConversion"/>
  <printOptions horizontalCentered="1" verticalCentered="1"/>
  <pageMargins left="0.75" right="0.75" top="1" bottom="1" header="0.5" footer="0.5"/>
  <pageSetup orientation="portrait" horizont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1"/>
  <sheetViews>
    <sheetView view="pageBreakPreview" topLeftCell="A19" zoomScale="60" zoomScaleNormal="100" workbookViewId="0">
      <selection activeCell="A2" sqref="A2:E41"/>
    </sheetView>
  </sheetViews>
  <sheetFormatPr defaultColWidth="8" defaultRowHeight="12.75" x14ac:dyDescent="0.2"/>
  <cols>
    <col min="1" max="2" width="8" style="7" customWidth="1"/>
    <col min="3" max="3" width="35.875" style="7" customWidth="1"/>
    <col min="4" max="4" width="16.25" style="7" customWidth="1"/>
    <col min="5" max="5" width="16.375" style="7" customWidth="1"/>
    <col min="6" max="16384" width="8" style="7"/>
  </cols>
  <sheetData>
    <row r="2" spans="1:5" ht="18.75" x14ac:dyDescent="0.3">
      <c r="A2" s="587" t="s">
        <v>287</v>
      </c>
      <c r="B2" s="587"/>
      <c r="C2" s="587"/>
      <c r="D2" s="587"/>
      <c r="E2" s="587"/>
    </row>
    <row r="3" spans="1:5" ht="13.5" x14ac:dyDescent="0.25">
      <c r="A3" s="255"/>
      <c r="B3" s="255"/>
      <c r="C3" s="255"/>
      <c r="D3" s="255"/>
      <c r="E3" s="345"/>
    </row>
    <row r="4" spans="1:5" ht="16.5" x14ac:dyDescent="0.3">
      <c r="A4" s="595" t="s">
        <v>601</v>
      </c>
      <c r="B4" s="595"/>
      <c r="C4" s="595"/>
      <c r="D4" s="595"/>
      <c r="E4" s="595"/>
    </row>
    <row r="6" spans="1:5" ht="15" x14ac:dyDescent="0.2">
      <c r="A6" s="591" t="s">
        <v>288</v>
      </c>
      <c r="B6" s="588" t="s">
        <v>3</v>
      </c>
      <c r="C6" s="589"/>
      <c r="D6" s="393" t="s">
        <v>623</v>
      </c>
      <c r="E6" s="394" t="s">
        <v>623</v>
      </c>
    </row>
    <row r="7" spans="1:5" ht="30" x14ac:dyDescent="0.2">
      <c r="A7" s="592"/>
      <c r="B7" s="565"/>
      <c r="C7" s="590"/>
      <c r="D7" s="395" t="s">
        <v>590</v>
      </c>
      <c r="E7" s="396" t="s">
        <v>592</v>
      </c>
    </row>
    <row r="8" spans="1:5" ht="16.5" x14ac:dyDescent="0.3">
      <c r="A8" s="250" t="s">
        <v>55</v>
      </c>
      <c r="B8" s="456" t="s">
        <v>289</v>
      </c>
      <c r="C8" s="457"/>
      <c r="D8" s="248"/>
      <c r="E8" s="248"/>
    </row>
    <row r="9" spans="1:5" ht="16.5" x14ac:dyDescent="0.3">
      <c r="A9" s="250"/>
      <c r="B9" s="246"/>
      <c r="C9" s="247"/>
      <c r="D9" s="124"/>
      <c r="E9" s="124"/>
    </row>
    <row r="10" spans="1:5" ht="16.5" x14ac:dyDescent="0.3">
      <c r="A10" s="250"/>
      <c r="B10" s="458" t="s">
        <v>628</v>
      </c>
      <c r="C10" s="247"/>
      <c r="D10" s="124">
        <v>2231331</v>
      </c>
      <c r="E10" s="124"/>
    </row>
    <row r="11" spans="1:5" ht="16.5" x14ac:dyDescent="0.3">
      <c r="A11" s="483"/>
      <c r="B11" s="458" t="s">
        <v>629</v>
      </c>
      <c r="C11" s="247"/>
      <c r="D11" s="124">
        <v>4846</v>
      </c>
      <c r="E11" s="124"/>
    </row>
    <row r="12" spans="1:5" ht="16.5" x14ac:dyDescent="0.3">
      <c r="A12" s="483"/>
      <c r="B12" s="458" t="s">
        <v>629</v>
      </c>
      <c r="C12" s="247"/>
      <c r="D12" s="124">
        <v>19663</v>
      </c>
      <c r="E12" s="124"/>
    </row>
    <row r="13" spans="1:5" ht="30.75" customHeight="1" x14ac:dyDescent="0.3">
      <c r="A13" s="250"/>
      <c r="B13" s="593" t="s">
        <v>630</v>
      </c>
      <c r="C13" s="594"/>
      <c r="D13" s="124">
        <v>7068</v>
      </c>
      <c r="E13" s="124"/>
    </row>
    <row r="14" spans="1:5" ht="33" customHeight="1" x14ac:dyDescent="0.3">
      <c r="A14" s="250"/>
      <c r="B14" s="593" t="s">
        <v>631</v>
      </c>
      <c r="C14" s="594"/>
      <c r="D14" s="124">
        <v>46816</v>
      </c>
      <c r="E14" s="124"/>
    </row>
    <row r="15" spans="1:5" ht="16.5" x14ac:dyDescent="0.3">
      <c r="A15" s="453"/>
      <c r="B15" s="458" t="s">
        <v>632</v>
      </c>
      <c r="C15" s="454"/>
      <c r="D15" s="124">
        <v>14370</v>
      </c>
      <c r="E15" s="124"/>
    </row>
    <row r="16" spans="1:5" ht="16.5" x14ac:dyDescent="0.3">
      <c r="A16" s="250"/>
      <c r="B16" s="585" t="s">
        <v>38</v>
      </c>
      <c r="C16" s="586"/>
      <c r="D16" s="126">
        <f>SUM(D10:D15)</f>
        <v>2324094</v>
      </c>
      <c r="E16" s="126">
        <f>SUM(E10:E15)</f>
        <v>0</v>
      </c>
    </row>
    <row r="17" spans="1:5" ht="16.5" x14ac:dyDescent="0.3">
      <c r="A17" s="250"/>
      <c r="B17" s="583"/>
      <c r="C17" s="584"/>
      <c r="D17" s="124"/>
      <c r="E17" s="124"/>
    </row>
    <row r="18" spans="1:5" ht="16.5" x14ac:dyDescent="0.3">
      <c r="A18" s="250" t="s">
        <v>54</v>
      </c>
      <c r="B18" s="246" t="s">
        <v>291</v>
      </c>
      <c r="C18" s="247"/>
      <c r="D18" s="124"/>
      <c r="E18" s="124"/>
    </row>
    <row r="19" spans="1:5" ht="16.5" x14ac:dyDescent="0.3">
      <c r="A19" s="483"/>
      <c r="B19" s="246"/>
      <c r="C19" s="247"/>
      <c r="D19" s="124"/>
      <c r="E19" s="124"/>
    </row>
    <row r="20" spans="1:5" ht="16.5" x14ac:dyDescent="0.3">
      <c r="A20" s="483"/>
      <c r="B20" s="458" t="s">
        <v>625</v>
      </c>
      <c r="C20" s="247"/>
      <c r="D20" s="124">
        <v>474165</v>
      </c>
      <c r="E20" s="124"/>
    </row>
    <row r="21" spans="1:5" ht="35.25" customHeight="1" x14ac:dyDescent="0.3">
      <c r="A21" s="483"/>
      <c r="B21" s="596" t="s">
        <v>627</v>
      </c>
      <c r="C21" s="597"/>
      <c r="D21" s="124">
        <v>2025000</v>
      </c>
      <c r="E21" s="124"/>
    </row>
    <row r="22" spans="1:5" ht="39.75" customHeight="1" x14ac:dyDescent="0.3">
      <c r="A22" s="250"/>
      <c r="B22" s="593" t="s">
        <v>626</v>
      </c>
      <c r="C22" s="594"/>
      <c r="D22" s="124">
        <v>500</v>
      </c>
      <c r="E22" s="124">
        <v>0</v>
      </c>
    </row>
    <row r="23" spans="1:5" ht="16.5" x14ac:dyDescent="0.3">
      <c r="A23" s="250"/>
      <c r="B23" s="246"/>
      <c r="C23" s="247"/>
      <c r="D23" s="247"/>
      <c r="E23" s="247"/>
    </row>
    <row r="24" spans="1:5" ht="16.5" x14ac:dyDescent="0.3">
      <c r="A24" s="250"/>
      <c r="B24" s="585" t="s">
        <v>38</v>
      </c>
      <c r="C24" s="586"/>
      <c r="D24" s="257">
        <f>SUM(D20:D23)</f>
        <v>2499665</v>
      </c>
      <c r="E24" s="257">
        <f>SUM(E23:E23)</f>
        <v>0</v>
      </c>
    </row>
    <row r="25" spans="1:5" ht="16.5" x14ac:dyDescent="0.3">
      <c r="A25" s="250"/>
      <c r="B25" s="583"/>
      <c r="C25" s="584"/>
      <c r="D25" s="247"/>
      <c r="E25" s="247"/>
    </row>
    <row r="26" spans="1:5" ht="16.5" x14ac:dyDescent="0.3">
      <c r="A26" s="250"/>
      <c r="B26" s="585" t="s">
        <v>568</v>
      </c>
      <c r="C26" s="586"/>
      <c r="D26" s="257">
        <f>+D16-D24</f>
        <v>-175571</v>
      </c>
      <c r="E26" s="257">
        <f>E24-E16</f>
        <v>0</v>
      </c>
    </row>
    <row r="27" spans="1:5" ht="16.5" x14ac:dyDescent="0.3">
      <c r="A27" s="252"/>
      <c r="B27" s="581"/>
      <c r="C27" s="582"/>
      <c r="D27" s="253"/>
      <c r="E27" s="253"/>
    </row>
    <row r="28" spans="1:5" ht="16.5" x14ac:dyDescent="0.3">
      <c r="A28" s="254"/>
      <c r="B28" s="254"/>
      <c r="C28" s="254"/>
      <c r="D28" s="254"/>
    </row>
    <row r="29" spans="1:5" ht="16.5" x14ac:dyDescent="0.3">
      <c r="A29" s="254"/>
      <c r="B29" s="254"/>
      <c r="C29" s="254"/>
      <c r="D29" s="254"/>
    </row>
    <row r="30" spans="1:5" ht="16.5" x14ac:dyDescent="0.3">
      <c r="A30" s="254"/>
      <c r="B30" s="254"/>
      <c r="C30" s="254"/>
      <c r="D30" s="254"/>
    </row>
    <row r="31" spans="1:5" ht="16.5" x14ac:dyDescent="0.3">
      <c r="A31" s="350" t="s">
        <v>678</v>
      </c>
      <c r="D31" s="254"/>
      <c r="E31" s="351" t="s">
        <v>606</v>
      </c>
    </row>
    <row r="32" spans="1:5" ht="16.5" x14ac:dyDescent="0.3">
      <c r="A32" s="114" t="s">
        <v>679</v>
      </c>
      <c r="D32" s="254"/>
      <c r="E32" s="352" t="s">
        <v>604</v>
      </c>
    </row>
    <row r="36" spans="1:5" ht="15" x14ac:dyDescent="0.25">
      <c r="A36" s="350" t="s">
        <v>650</v>
      </c>
      <c r="C36" s="17"/>
      <c r="E36"/>
    </row>
    <row r="37" spans="1:5" ht="15" x14ac:dyDescent="0.25">
      <c r="A37" s="114" t="s">
        <v>480</v>
      </c>
      <c r="C37" s="17"/>
      <c r="E37" s="449" t="s">
        <v>605</v>
      </c>
    </row>
    <row r="38" spans="1:5" ht="16.5" x14ac:dyDescent="0.3">
      <c r="D38" s="63"/>
      <c r="E38" s="449"/>
    </row>
    <row r="39" spans="1:5" ht="15" x14ac:dyDescent="0.25">
      <c r="D39" s="1"/>
      <c r="E39" s="449"/>
    </row>
    <row r="40" spans="1:5" ht="15.75" x14ac:dyDescent="0.3">
      <c r="A40" s="34" t="s">
        <v>410</v>
      </c>
      <c r="B40" s="34"/>
      <c r="D40" s="1"/>
      <c r="E40" s="450"/>
    </row>
    <row r="41" spans="1:5" ht="15" x14ac:dyDescent="0.3">
      <c r="A41" s="255" t="s">
        <v>677</v>
      </c>
      <c r="B41" s="255"/>
      <c r="E41" s="450"/>
    </row>
  </sheetData>
  <mergeCells count="14">
    <mergeCell ref="B27:C27"/>
    <mergeCell ref="B17:C17"/>
    <mergeCell ref="B25:C25"/>
    <mergeCell ref="B24:C24"/>
    <mergeCell ref="A2:E2"/>
    <mergeCell ref="B6:C7"/>
    <mergeCell ref="A6:A7"/>
    <mergeCell ref="B26:C26"/>
    <mergeCell ref="B16:C16"/>
    <mergeCell ref="B22:C22"/>
    <mergeCell ref="A4:E4"/>
    <mergeCell ref="B21:C21"/>
    <mergeCell ref="B13:C13"/>
    <mergeCell ref="B14:C14"/>
  </mergeCells>
  <phoneticPr fontId="9" type="noConversion"/>
  <printOptions horizontalCentered="1" verticalCentered="1"/>
  <pageMargins left="0.75" right="0.75" top="1" bottom="1" header="0.5" footer="0.5"/>
  <pageSetup scale="88" orientation="portrait" horizont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view="pageBreakPreview" topLeftCell="A16" zoomScaleNormal="100" workbookViewId="0">
      <selection sqref="A1:H34"/>
    </sheetView>
  </sheetViews>
  <sheetFormatPr defaultColWidth="8" defaultRowHeight="12.75" x14ac:dyDescent="0.2"/>
  <cols>
    <col min="1" max="1" width="8" style="7" customWidth="1"/>
    <col min="2" max="2" width="27.875" style="7" bestFit="1" customWidth="1"/>
    <col min="3" max="3" width="14.125" style="7" bestFit="1" customWidth="1"/>
    <col min="4" max="4" width="15.75" style="15" bestFit="1" customWidth="1"/>
    <col min="5" max="5" width="14.125" style="15" bestFit="1" customWidth="1"/>
    <col min="6" max="6" width="14.25" style="7" bestFit="1" customWidth="1"/>
    <col min="7" max="7" width="15.75" style="7" bestFit="1" customWidth="1"/>
    <col min="8" max="8" width="14.25" style="7" bestFit="1" customWidth="1"/>
    <col min="9" max="16384" width="8" style="7"/>
  </cols>
  <sheetData>
    <row r="1" spans="1:8" ht="18.75" x14ac:dyDescent="0.3">
      <c r="A1" s="598" t="s">
        <v>292</v>
      </c>
      <c r="B1" s="598"/>
      <c r="C1" s="598"/>
      <c r="D1" s="598"/>
      <c r="E1" s="598"/>
      <c r="F1" s="598"/>
      <c r="G1" s="598"/>
      <c r="H1" s="598"/>
    </row>
    <row r="2" spans="1:8" ht="13.5" x14ac:dyDescent="0.25">
      <c r="A2" s="255"/>
      <c r="B2" s="255"/>
      <c r="C2" s="255"/>
      <c r="D2" s="263"/>
      <c r="E2" s="263"/>
    </row>
    <row r="3" spans="1:8" ht="16.5" x14ac:dyDescent="0.3">
      <c r="A3" s="599" t="s">
        <v>293</v>
      </c>
      <c r="B3" s="599"/>
      <c r="C3" s="599"/>
      <c r="D3" s="599"/>
      <c r="E3" s="599"/>
      <c r="F3" s="599"/>
      <c r="G3" s="599"/>
      <c r="H3" s="599"/>
    </row>
    <row r="4" spans="1:8" ht="16.5" x14ac:dyDescent="0.3">
      <c r="A4" s="599" t="s">
        <v>294</v>
      </c>
      <c r="B4" s="599"/>
      <c r="C4" s="599"/>
      <c r="D4" s="599"/>
      <c r="E4" s="599"/>
      <c r="F4" s="599"/>
      <c r="G4" s="599"/>
      <c r="H4" s="599"/>
    </row>
    <row r="6" spans="1:8" ht="15" x14ac:dyDescent="0.25">
      <c r="A6" s="591" t="s">
        <v>27</v>
      </c>
      <c r="B6" s="591" t="s">
        <v>3</v>
      </c>
      <c r="C6" s="602" t="s">
        <v>655</v>
      </c>
      <c r="D6" s="603"/>
      <c r="E6" s="604"/>
      <c r="F6" s="600" t="s">
        <v>656</v>
      </c>
      <c r="G6" s="600"/>
      <c r="H6" s="600"/>
    </row>
    <row r="7" spans="1:8" ht="15" x14ac:dyDescent="0.25">
      <c r="A7" s="601"/>
      <c r="B7" s="601"/>
      <c r="C7" s="245" t="s">
        <v>295</v>
      </c>
      <c r="D7" s="258" t="s">
        <v>296</v>
      </c>
      <c r="E7" s="258" t="s">
        <v>297</v>
      </c>
      <c r="F7" s="245" t="s">
        <v>295</v>
      </c>
      <c r="G7" s="258" t="s">
        <v>296</v>
      </c>
      <c r="H7" s="258" t="s">
        <v>297</v>
      </c>
    </row>
    <row r="8" spans="1:8" ht="15" x14ac:dyDescent="0.25">
      <c r="A8" s="592"/>
      <c r="B8" s="592"/>
      <c r="C8" s="245" t="s">
        <v>298</v>
      </c>
      <c r="D8" s="258" t="s">
        <v>299</v>
      </c>
      <c r="E8" s="258" t="s">
        <v>300</v>
      </c>
      <c r="F8" s="245" t="s">
        <v>298</v>
      </c>
      <c r="G8" s="258" t="s">
        <v>299</v>
      </c>
      <c r="H8" s="258" t="s">
        <v>300</v>
      </c>
    </row>
    <row r="9" spans="1:8" ht="16.5" x14ac:dyDescent="0.3">
      <c r="A9" s="265">
        <v>1</v>
      </c>
      <c r="B9" s="259" t="s">
        <v>301</v>
      </c>
      <c r="C9" s="265" t="s">
        <v>302</v>
      </c>
      <c r="D9" s="266" t="s">
        <v>302</v>
      </c>
      <c r="E9" s="266" t="s">
        <v>302</v>
      </c>
      <c r="F9" s="265" t="s">
        <v>302</v>
      </c>
      <c r="G9" s="266" t="s">
        <v>302</v>
      </c>
      <c r="H9" s="266" t="s">
        <v>302</v>
      </c>
    </row>
    <row r="10" spans="1:8" ht="16.5" x14ac:dyDescent="0.3">
      <c r="A10" s="267"/>
      <c r="B10" s="260"/>
      <c r="C10" s="267"/>
      <c r="D10" s="268"/>
      <c r="E10" s="268"/>
      <c r="F10" s="267"/>
      <c r="G10" s="268"/>
      <c r="H10" s="268"/>
    </row>
    <row r="11" spans="1:8" ht="16.5" x14ac:dyDescent="0.3">
      <c r="A11" s="267">
        <v>2</v>
      </c>
      <c r="B11" s="260" t="s">
        <v>303</v>
      </c>
      <c r="C11" s="267" t="s">
        <v>302</v>
      </c>
      <c r="D11" s="268" t="s">
        <v>302</v>
      </c>
      <c r="E11" s="268" t="s">
        <v>302</v>
      </c>
      <c r="F11" s="267" t="s">
        <v>302</v>
      </c>
      <c r="G11" s="268" t="s">
        <v>302</v>
      </c>
      <c r="H11" s="268" t="s">
        <v>302</v>
      </c>
    </row>
    <row r="12" spans="1:8" ht="16.5" x14ac:dyDescent="0.3">
      <c r="A12" s="267"/>
      <c r="B12" s="260" t="s">
        <v>304</v>
      </c>
      <c r="C12" s="267"/>
      <c r="D12" s="268"/>
      <c r="E12" s="268"/>
      <c r="F12" s="267"/>
      <c r="G12" s="268"/>
      <c r="H12" s="268"/>
    </row>
    <row r="13" spans="1:8" ht="16.5" x14ac:dyDescent="0.3">
      <c r="A13" s="267"/>
      <c r="B13" s="260"/>
      <c r="C13" s="267"/>
      <c r="D13" s="268"/>
      <c r="E13" s="268"/>
      <c r="F13" s="267"/>
      <c r="G13" s="268"/>
      <c r="H13" s="268"/>
    </row>
    <row r="14" spans="1:8" ht="16.5" x14ac:dyDescent="0.3">
      <c r="A14" s="267">
        <v>3</v>
      </c>
      <c r="B14" s="260" t="s">
        <v>305</v>
      </c>
      <c r="C14" s="267" t="s">
        <v>302</v>
      </c>
      <c r="D14" s="268" t="s">
        <v>302</v>
      </c>
      <c r="E14" s="268" t="s">
        <v>302</v>
      </c>
      <c r="F14" s="267" t="s">
        <v>302</v>
      </c>
      <c r="G14" s="268" t="s">
        <v>302</v>
      </c>
      <c r="H14" s="268" t="s">
        <v>302</v>
      </c>
    </row>
    <row r="15" spans="1:8" ht="16.5" x14ac:dyDescent="0.3">
      <c r="A15" s="267"/>
      <c r="B15" s="260" t="s">
        <v>306</v>
      </c>
      <c r="C15" s="267"/>
      <c r="D15" s="268"/>
      <c r="E15" s="268"/>
      <c r="F15" s="267"/>
      <c r="G15" s="268"/>
      <c r="H15" s="268"/>
    </row>
    <row r="16" spans="1:8" ht="16.5" x14ac:dyDescent="0.3">
      <c r="A16" s="267"/>
      <c r="B16" s="260"/>
      <c r="C16" s="267"/>
      <c r="D16" s="268"/>
      <c r="E16" s="268"/>
      <c r="F16" s="267"/>
      <c r="G16" s="268"/>
      <c r="H16" s="268"/>
    </row>
    <row r="17" spans="1:9" ht="16.5" x14ac:dyDescent="0.3">
      <c r="A17" s="267">
        <v>4</v>
      </c>
      <c r="B17" s="260" t="s">
        <v>111</v>
      </c>
      <c r="C17" s="267" t="s">
        <v>302</v>
      </c>
      <c r="D17" s="268" t="s">
        <v>302</v>
      </c>
      <c r="E17" s="268" t="s">
        <v>302</v>
      </c>
      <c r="F17" s="267" t="s">
        <v>302</v>
      </c>
      <c r="G17" s="268" t="s">
        <v>302</v>
      </c>
      <c r="H17" s="268" t="s">
        <v>302</v>
      </c>
    </row>
    <row r="18" spans="1:9" ht="16.5" x14ac:dyDescent="0.3">
      <c r="A18" s="267"/>
      <c r="B18" s="260"/>
      <c r="C18" s="267"/>
      <c r="D18" s="268"/>
      <c r="E18" s="268"/>
      <c r="F18" s="267"/>
      <c r="G18" s="268"/>
      <c r="H18" s="268"/>
    </row>
    <row r="19" spans="1:9" ht="16.5" x14ac:dyDescent="0.3">
      <c r="A19" s="271"/>
      <c r="B19" s="264" t="s">
        <v>76</v>
      </c>
      <c r="C19" s="269" t="s">
        <v>302</v>
      </c>
      <c r="D19" s="269" t="s">
        <v>302</v>
      </c>
      <c r="E19" s="269" t="s">
        <v>302</v>
      </c>
      <c r="F19" s="269" t="s">
        <v>302</v>
      </c>
      <c r="G19" s="270" t="s">
        <v>302</v>
      </c>
      <c r="H19" s="270" t="s">
        <v>302</v>
      </c>
    </row>
    <row r="20" spans="1:9" ht="16.5" x14ac:dyDescent="0.3">
      <c r="A20" s="254"/>
      <c r="B20" s="254"/>
      <c r="C20" s="254"/>
      <c r="D20" s="262"/>
      <c r="E20" s="262"/>
    </row>
    <row r="21" spans="1:9" ht="16.5" x14ac:dyDescent="0.3">
      <c r="A21" s="254"/>
      <c r="B21" s="254"/>
      <c r="C21" s="254"/>
      <c r="D21" s="262"/>
      <c r="E21" s="262"/>
    </row>
    <row r="22" spans="1:9" ht="16.5" x14ac:dyDescent="0.3">
      <c r="A22" s="254"/>
      <c r="B22" s="254"/>
      <c r="C22" s="254"/>
      <c r="D22" s="262"/>
      <c r="E22" s="262"/>
    </row>
    <row r="23" spans="1:9" ht="16.5" x14ac:dyDescent="0.3">
      <c r="A23" s="254"/>
      <c r="B23" s="254"/>
      <c r="C23" s="254"/>
      <c r="D23" s="262"/>
      <c r="E23" s="262"/>
    </row>
    <row r="24" spans="1:9" ht="16.5" x14ac:dyDescent="0.3">
      <c r="A24" s="350" t="s">
        <v>678</v>
      </c>
      <c r="E24" s="254"/>
      <c r="F24" s="262"/>
      <c r="G24" s="353"/>
      <c r="H24" s="351" t="s">
        <v>606</v>
      </c>
    </row>
    <row r="25" spans="1:9" ht="16.5" x14ac:dyDescent="0.3">
      <c r="A25" s="114" t="s">
        <v>679</v>
      </c>
      <c r="E25" s="254"/>
      <c r="F25" s="262"/>
      <c r="G25" s="354"/>
      <c r="H25" s="352" t="s">
        <v>604</v>
      </c>
    </row>
    <row r="29" spans="1:9" ht="15" x14ac:dyDescent="0.25">
      <c r="A29" s="350" t="s">
        <v>650</v>
      </c>
      <c r="C29" s="17"/>
      <c r="D29"/>
      <c r="E29"/>
      <c r="F29"/>
      <c r="G29"/>
      <c r="H29"/>
      <c r="I29"/>
    </row>
    <row r="30" spans="1:9" ht="15" x14ac:dyDescent="0.25">
      <c r="A30" s="114" t="s">
        <v>480</v>
      </c>
      <c r="C30" s="17"/>
      <c r="D30"/>
      <c r="E30"/>
      <c r="F30"/>
      <c r="G30"/>
      <c r="H30" s="449" t="s">
        <v>605</v>
      </c>
      <c r="I30"/>
    </row>
    <row r="31" spans="1:9" ht="16.5" x14ac:dyDescent="0.3">
      <c r="G31" s="63"/>
      <c r="H31" s="449"/>
    </row>
    <row r="32" spans="1:9" ht="15" x14ac:dyDescent="0.25">
      <c r="G32" s="1"/>
      <c r="H32" s="449"/>
    </row>
    <row r="33" spans="1:8" ht="15.75" x14ac:dyDescent="0.3">
      <c r="A33" s="34" t="s">
        <v>410</v>
      </c>
      <c r="G33" s="1"/>
      <c r="H33" s="450"/>
    </row>
    <row r="34" spans="1:8" ht="15" x14ac:dyDescent="0.3">
      <c r="A34" s="255" t="s">
        <v>677</v>
      </c>
      <c r="H34" s="450"/>
    </row>
  </sheetData>
  <mergeCells count="7">
    <mergeCell ref="A1:H1"/>
    <mergeCell ref="A3:H3"/>
    <mergeCell ref="A4:H4"/>
    <mergeCell ref="F6:H6"/>
    <mergeCell ref="B6:B8"/>
    <mergeCell ref="A6:A8"/>
    <mergeCell ref="C6:E6"/>
  </mergeCells>
  <phoneticPr fontId="9" type="noConversion"/>
  <printOptions horizontalCentered="1" verticalCentered="1"/>
  <pageMargins left="0.47" right="0.23" top="1" bottom="1" header="0.5" footer="0.5"/>
  <pageSetup scale="88" orientation="landscape" horizont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25" zoomScale="85" zoomScaleNormal="100" zoomScaleSheetLayoutView="85" workbookViewId="0">
      <selection sqref="A1:J46"/>
    </sheetView>
  </sheetViews>
  <sheetFormatPr defaultRowHeight="14.25" x14ac:dyDescent="0.2"/>
  <cols>
    <col min="1" max="1" width="4.625" customWidth="1"/>
    <col min="2" max="2" width="30.5" customWidth="1"/>
    <col min="3" max="4" width="14.5" customWidth="1"/>
    <col min="5" max="5" width="10.75" customWidth="1"/>
    <col min="6" max="6" width="14.625" customWidth="1"/>
    <col min="7" max="7" width="14.75" customWidth="1"/>
    <col min="8" max="8" width="15.25" customWidth="1"/>
    <col min="9" max="9" width="10.875" customWidth="1"/>
    <col min="10" max="10" width="16" customWidth="1"/>
  </cols>
  <sheetData>
    <row r="1" spans="1:10" ht="18.75" x14ac:dyDescent="0.3">
      <c r="A1" s="517" t="s">
        <v>250</v>
      </c>
      <c r="B1" s="517"/>
      <c r="C1" s="517"/>
      <c r="D1" s="517"/>
      <c r="E1" s="517"/>
      <c r="F1" s="517"/>
      <c r="G1" s="517"/>
      <c r="H1" s="517"/>
      <c r="I1" s="517"/>
      <c r="J1" s="517"/>
    </row>
    <row r="2" spans="1:10" ht="16.5" x14ac:dyDescent="0.3">
      <c r="A2" s="216"/>
      <c r="B2" s="216"/>
      <c r="C2" s="216"/>
      <c r="D2" s="216"/>
      <c r="E2" s="216"/>
      <c r="F2" s="216"/>
      <c r="G2" s="1"/>
      <c r="H2" s="1"/>
      <c r="I2" s="1"/>
      <c r="J2" s="1"/>
    </row>
    <row r="3" spans="1:10" ht="16.5" x14ac:dyDescent="0.3">
      <c r="A3" s="518" t="s">
        <v>251</v>
      </c>
      <c r="B3" s="518"/>
      <c r="C3" s="518"/>
      <c r="D3" s="518"/>
      <c r="E3" s="518"/>
      <c r="F3" s="518"/>
      <c r="G3" s="518"/>
      <c r="H3" s="518"/>
      <c r="I3" s="518"/>
      <c r="J3" s="518"/>
    </row>
    <row r="4" spans="1:10" ht="15" x14ac:dyDescent="0.25">
      <c r="A4" s="567" t="s">
        <v>353</v>
      </c>
      <c r="B4" s="567"/>
      <c r="C4" s="567"/>
      <c r="D4" s="567"/>
      <c r="E4" s="567"/>
      <c r="F4" s="567"/>
      <c r="G4" s="567"/>
      <c r="H4" s="567"/>
      <c r="I4" s="567"/>
      <c r="J4" s="567"/>
    </row>
    <row r="5" spans="1:10" ht="15" customHeight="1" x14ac:dyDescent="0.25">
      <c r="A5" s="605" t="s">
        <v>253</v>
      </c>
      <c r="B5" s="572" t="s">
        <v>254</v>
      </c>
      <c r="C5" s="603" t="s">
        <v>655</v>
      </c>
      <c r="D5" s="603"/>
      <c r="E5" s="603"/>
      <c r="F5" s="604"/>
      <c r="G5" s="560" t="s">
        <v>656</v>
      </c>
      <c r="H5" s="560"/>
      <c r="I5" s="560"/>
      <c r="J5" s="561"/>
    </row>
    <row r="6" spans="1:10" ht="14.25" customHeight="1" x14ac:dyDescent="0.2">
      <c r="A6" s="570"/>
      <c r="B6" s="568"/>
      <c r="C6" s="606" t="s">
        <v>255</v>
      </c>
      <c r="D6" s="564" t="s">
        <v>256</v>
      </c>
      <c r="E6" s="564" t="s">
        <v>257</v>
      </c>
      <c r="F6" s="564" t="s">
        <v>258</v>
      </c>
      <c r="G6" s="606" t="s">
        <v>255</v>
      </c>
      <c r="H6" s="564" t="s">
        <v>256</v>
      </c>
      <c r="I6" s="564" t="s">
        <v>257</v>
      </c>
      <c r="J6" s="564" t="s">
        <v>258</v>
      </c>
    </row>
    <row r="7" spans="1:10" ht="16.5" customHeight="1" x14ac:dyDescent="0.2">
      <c r="A7" s="570"/>
      <c r="B7" s="568"/>
      <c r="C7" s="607"/>
      <c r="D7" s="539"/>
      <c r="E7" s="539"/>
      <c r="F7" s="539"/>
      <c r="G7" s="607"/>
      <c r="H7" s="539"/>
      <c r="I7" s="539"/>
      <c r="J7" s="539"/>
    </row>
    <row r="8" spans="1:10" ht="29.25" customHeight="1" x14ac:dyDescent="0.2">
      <c r="A8" s="570"/>
      <c r="B8" s="568"/>
      <c r="C8" s="607"/>
      <c r="D8" s="539"/>
      <c r="E8" s="539"/>
      <c r="F8" s="539"/>
      <c r="G8" s="607"/>
      <c r="H8" s="539"/>
      <c r="I8" s="539"/>
      <c r="J8" s="539"/>
    </row>
    <row r="9" spans="1:10" ht="16.5" x14ac:dyDescent="0.3">
      <c r="A9" s="192" t="s">
        <v>55</v>
      </c>
      <c r="B9" s="67" t="s">
        <v>259</v>
      </c>
      <c r="C9" s="460"/>
      <c r="D9" s="83"/>
      <c r="E9" s="83"/>
      <c r="F9" s="83"/>
      <c r="G9" s="90"/>
      <c r="H9" s="83"/>
      <c r="I9" s="83"/>
      <c r="J9" s="74"/>
    </row>
    <row r="10" spans="1:10" ht="16.5" x14ac:dyDescent="0.3">
      <c r="A10" s="192" t="s">
        <v>54</v>
      </c>
      <c r="B10" s="67" t="s">
        <v>260</v>
      </c>
      <c r="C10" s="68"/>
      <c r="D10" s="74"/>
      <c r="E10" s="74"/>
      <c r="F10" s="74"/>
      <c r="G10" s="86"/>
      <c r="H10" s="74"/>
      <c r="I10" s="74"/>
      <c r="J10" s="74"/>
    </row>
    <row r="11" spans="1:10" ht="16.5" x14ac:dyDescent="0.3">
      <c r="A11" s="192" t="s">
        <v>192</v>
      </c>
      <c r="B11" s="67" t="s">
        <v>261</v>
      </c>
      <c r="C11" s="123">
        <v>18895000</v>
      </c>
      <c r="D11" s="124">
        <v>0</v>
      </c>
      <c r="E11" s="461" t="s">
        <v>17</v>
      </c>
      <c r="F11" s="124">
        <f>SUM(C11:D11)</f>
        <v>18895000</v>
      </c>
      <c r="G11" s="124">
        <v>18895000</v>
      </c>
      <c r="H11" s="124">
        <v>0</v>
      </c>
      <c r="I11" s="461" t="s">
        <v>17</v>
      </c>
      <c r="J11" s="123">
        <f>+G11+H11</f>
        <v>18895000</v>
      </c>
    </row>
    <row r="12" spans="1:10" ht="16.5" x14ac:dyDescent="0.3">
      <c r="A12" s="192" t="s">
        <v>196</v>
      </c>
      <c r="B12" s="67" t="s">
        <v>262</v>
      </c>
      <c r="C12" s="123">
        <v>0</v>
      </c>
      <c r="D12" s="124">
        <v>0</v>
      </c>
      <c r="E12" s="461"/>
      <c r="F12" s="124">
        <f t="shared" ref="F12:F28" si="0">SUM(C12:D12)</f>
        <v>0</v>
      </c>
      <c r="G12" s="124">
        <v>0</v>
      </c>
      <c r="H12" s="124">
        <v>0</v>
      </c>
      <c r="I12" s="461"/>
      <c r="J12" s="123">
        <f t="shared" ref="J12:J23" si="1">+G12+H12</f>
        <v>0</v>
      </c>
    </row>
    <row r="13" spans="1:10" ht="16.5" x14ac:dyDescent="0.3">
      <c r="A13" s="192" t="s">
        <v>239</v>
      </c>
      <c r="B13" s="67" t="s">
        <v>263</v>
      </c>
      <c r="C13" s="123">
        <v>0</v>
      </c>
      <c r="D13" s="124">
        <v>0</v>
      </c>
      <c r="E13" s="461" t="s">
        <v>17</v>
      </c>
      <c r="F13" s="124">
        <f t="shared" si="0"/>
        <v>0</v>
      </c>
      <c r="G13" s="124">
        <v>0</v>
      </c>
      <c r="H13" s="124">
        <v>0</v>
      </c>
      <c r="I13" s="461" t="s">
        <v>17</v>
      </c>
      <c r="J13" s="123">
        <f t="shared" si="1"/>
        <v>0</v>
      </c>
    </row>
    <row r="14" spans="1:10" ht="16.5" x14ac:dyDescent="0.3">
      <c r="A14" s="192" t="s">
        <v>241</v>
      </c>
      <c r="B14" s="67" t="s">
        <v>264</v>
      </c>
      <c r="C14" s="123">
        <v>0</v>
      </c>
      <c r="D14" s="124">
        <v>0</v>
      </c>
      <c r="E14" s="461"/>
      <c r="F14" s="124">
        <f t="shared" si="0"/>
        <v>0</v>
      </c>
      <c r="G14" s="124">
        <v>0</v>
      </c>
      <c r="H14" s="124">
        <v>0</v>
      </c>
      <c r="I14" s="461"/>
      <c r="J14" s="123">
        <f t="shared" si="1"/>
        <v>0</v>
      </c>
    </row>
    <row r="15" spans="1:10" ht="16.5" x14ac:dyDescent="0.3">
      <c r="A15" s="192" t="s">
        <v>265</v>
      </c>
      <c r="B15" s="67" t="s">
        <v>266</v>
      </c>
      <c r="C15" s="123">
        <v>0</v>
      </c>
      <c r="D15" s="124">
        <v>0</v>
      </c>
      <c r="E15" s="461"/>
      <c r="F15" s="124">
        <f t="shared" si="0"/>
        <v>0</v>
      </c>
      <c r="G15" s="124">
        <v>0</v>
      </c>
      <c r="H15" s="124">
        <v>0</v>
      </c>
      <c r="I15" s="461"/>
      <c r="J15" s="123">
        <f t="shared" si="1"/>
        <v>0</v>
      </c>
    </row>
    <row r="16" spans="1:10" ht="16.5" x14ac:dyDescent="0.3">
      <c r="A16" s="192" t="s">
        <v>57</v>
      </c>
      <c r="B16" s="67" t="s">
        <v>267</v>
      </c>
      <c r="C16" s="123">
        <v>66194543.079999998</v>
      </c>
      <c r="D16" s="459">
        <v>0</v>
      </c>
      <c r="E16" s="461"/>
      <c r="F16" s="124">
        <f t="shared" si="0"/>
        <v>66194543.079999998</v>
      </c>
      <c r="G16" s="124">
        <v>150381000</v>
      </c>
      <c r="H16" s="124">
        <v>182961000</v>
      </c>
      <c r="I16" s="461"/>
      <c r="J16" s="123">
        <f t="shared" si="1"/>
        <v>333342000</v>
      </c>
    </row>
    <row r="17" spans="1:10" ht="16.5" x14ac:dyDescent="0.3">
      <c r="A17" s="192" t="s">
        <v>59</v>
      </c>
      <c r="B17" s="67" t="s">
        <v>268</v>
      </c>
      <c r="C17" s="123">
        <v>202892189.19999999</v>
      </c>
      <c r="D17" s="124">
        <v>4713674</v>
      </c>
      <c r="E17" s="461" t="s">
        <v>17</v>
      </c>
      <c r="F17" s="124">
        <f t="shared" si="0"/>
        <v>207605863.19999999</v>
      </c>
      <c r="G17" s="124">
        <v>210368000</v>
      </c>
      <c r="H17" s="124">
        <v>46299000</v>
      </c>
      <c r="I17" s="461" t="s">
        <v>17</v>
      </c>
      <c r="J17" s="123">
        <f t="shared" si="1"/>
        <v>256667000</v>
      </c>
    </row>
    <row r="18" spans="1:10" ht="16.5" x14ac:dyDescent="0.3">
      <c r="A18" s="192" t="s">
        <v>235</v>
      </c>
      <c r="B18" s="67" t="s">
        <v>269</v>
      </c>
      <c r="C18" s="123">
        <v>8328713</v>
      </c>
      <c r="D18" s="124"/>
      <c r="E18" s="461" t="s">
        <v>17</v>
      </c>
      <c r="F18" s="124">
        <f t="shared" si="0"/>
        <v>8328713</v>
      </c>
      <c r="G18" s="124">
        <v>29328000</v>
      </c>
      <c r="H18" s="124">
        <v>0</v>
      </c>
      <c r="I18" s="461" t="s">
        <v>17</v>
      </c>
      <c r="J18" s="123">
        <f t="shared" si="1"/>
        <v>29328000</v>
      </c>
    </row>
    <row r="19" spans="1:10" ht="16.5" x14ac:dyDescent="0.3">
      <c r="A19" s="192" t="s">
        <v>71</v>
      </c>
      <c r="B19" s="67" t="s">
        <v>270</v>
      </c>
      <c r="C19" s="123">
        <v>2441018.5</v>
      </c>
      <c r="D19" s="124">
        <v>1045977</v>
      </c>
      <c r="E19" s="461" t="s">
        <v>17</v>
      </c>
      <c r="F19" s="124">
        <f t="shared" si="0"/>
        <v>3486995.5</v>
      </c>
      <c r="G19" s="124">
        <v>3841000</v>
      </c>
      <c r="H19" s="124">
        <v>0</v>
      </c>
      <c r="I19" s="461" t="s">
        <v>17</v>
      </c>
      <c r="J19" s="123">
        <f t="shared" si="1"/>
        <v>3841000</v>
      </c>
    </row>
    <row r="20" spans="1:10" ht="16.5" x14ac:dyDescent="0.3">
      <c r="A20" s="192" t="s">
        <v>75</v>
      </c>
      <c r="B20" s="67" t="s">
        <v>271</v>
      </c>
      <c r="C20" s="123">
        <v>253685.76000000001</v>
      </c>
      <c r="D20" s="124"/>
      <c r="E20" s="461" t="s">
        <v>17</v>
      </c>
      <c r="F20" s="124">
        <f t="shared" si="0"/>
        <v>253685.76000000001</v>
      </c>
      <c r="G20" s="124">
        <v>453000</v>
      </c>
      <c r="H20" s="124">
        <v>0</v>
      </c>
      <c r="I20" s="461" t="s">
        <v>17</v>
      </c>
      <c r="J20" s="123">
        <f t="shared" si="1"/>
        <v>453000</v>
      </c>
    </row>
    <row r="21" spans="1:10" ht="16.5" x14ac:dyDescent="0.3">
      <c r="A21" s="192" t="s">
        <v>246</v>
      </c>
      <c r="B21" s="67" t="s">
        <v>272</v>
      </c>
      <c r="C21" s="123">
        <v>0</v>
      </c>
      <c r="D21" s="124"/>
      <c r="E21" s="124"/>
      <c r="F21" s="124">
        <f t="shared" si="0"/>
        <v>0</v>
      </c>
      <c r="G21" s="124">
        <v>0</v>
      </c>
      <c r="H21" s="124">
        <v>0</v>
      </c>
      <c r="I21" s="124"/>
      <c r="J21" s="123">
        <f t="shared" si="1"/>
        <v>0</v>
      </c>
    </row>
    <row r="22" spans="1:10" ht="16.5" x14ac:dyDescent="0.3">
      <c r="A22" s="192" t="s">
        <v>248</v>
      </c>
      <c r="B22" s="67" t="s">
        <v>273</v>
      </c>
      <c r="C22" s="123">
        <v>0</v>
      </c>
      <c r="D22" s="124"/>
      <c r="E22" s="124"/>
      <c r="F22" s="124">
        <f t="shared" si="0"/>
        <v>0</v>
      </c>
      <c r="G22" s="124">
        <v>0</v>
      </c>
      <c r="H22" s="124">
        <v>0</v>
      </c>
      <c r="I22" s="124"/>
      <c r="J22" s="123">
        <f t="shared" si="1"/>
        <v>0</v>
      </c>
    </row>
    <row r="23" spans="1:10" ht="16.5" x14ac:dyDescent="0.3">
      <c r="A23" s="192"/>
      <c r="B23" s="67" t="s">
        <v>610</v>
      </c>
      <c r="C23" s="123">
        <v>823425</v>
      </c>
      <c r="D23" s="124"/>
      <c r="E23" s="461" t="s">
        <v>17</v>
      </c>
      <c r="F23" s="124">
        <f t="shared" si="0"/>
        <v>823425</v>
      </c>
      <c r="G23" s="124">
        <v>91000</v>
      </c>
      <c r="H23" s="124">
        <v>0</v>
      </c>
      <c r="I23" s="461"/>
      <c r="J23" s="123">
        <f t="shared" si="1"/>
        <v>91000</v>
      </c>
    </row>
    <row r="24" spans="1:10" ht="16.5" x14ac:dyDescent="0.3">
      <c r="A24" s="192"/>
      <c r="B24" s="67" t="s">
        <v>609</v>
      </c>
      <c r="C24" s="123">
        <v>42633</v>
      </c>
      <c r="D24" s="124"/>
      <c r="E24" s="461" t="s">
        <v>17</v>
      </c>
      <c r="F24" s="124">
        <f t="shared" si="0"/>
        <v>42633</v>
      </c>
      <c r="G24" s="124"/>
      <c r="H24" s="124"/>
      <c r="I24" s="461"/>
      <c r="J24" s="124"/>
    </row>
    <row r="25" spans="1:10" ht="16.5" x14ac:dyDescent="0.3">
      <c r="A25" s="192"/>
      <c r="B25" s="67" t="s">
        <v>611</v>
      </c>
      <c r="C25" s="123">
        <v>921957</v>
      </c>
      <c r="D25" s="124"/>
      <c r="E25" s="461" t="s">
        <v>17</v>
      </c>
      <c r="F25" s="124">
        <f t="shared" si="0"/>
        <v>921957</v>
      </c>
      <c r="G25" s="124"/>
      <c r="H25" s="124"/>
      <c r="I25" s="461"/>
      <c r="J25" s="124"/>
    </row>
    <row r="26" spans="1:10" ht="16.5" x14ac:dyDescent="0.3">
      <c r="A26" s="192"/>
      <c r="B26" s="67" t="s">
        <v>612</v>
      </c>
      <c r="C26" s="123">
        <v>201011</v>
      </c>
      <c r="D26" s="124">
        <v>172842</v>
      </c>
      <c r="E26" s="461" t="s">
        <v>17</v>
      </c>
      <c r="F26" s="124">
        <f t="shared" si="0"/>
        <v>373853</v>
      </c>
      <c r="G26" s="124"/>
      <c r="H26" s="124"/>
      <c r="I26" s="461"/>
      <c r="J26" s="124"/>
    </row>
    <row r="27" spans="1:10" ht="16.5" x14ac:dyDescent="0.3">
      <c r="A27" s="192"/>
      <c r="B27" s="67" t="s">
        <v>633</v>
      </c>
      <c r="C27" s="124"/>
      <c r="D27" s="124">
        <v>4930071</v>
      </c>
      <c r="E27" s="461" t="s">
        <v>17</v>
      </c>
      <c r="F27" s="124">
        <f t="shared" si="0"/>
        <v>4930071</v>
      </c>
      <c r="G27" s="124"/>
      <c r="H27" s="124"/>
      <c r="I27" s="461"/>
      <c r="J27" s="124"/>
    </row>
    <row r="28" spans="1:10" ht="16.5" x14ac:dyDescent="0.3">
      <c r="A28" s="192"/>
      <c r="B28" s="67" t="s">
        <v>634</v>
      </c>
      <c r="C28" s="124"/>
      <c r="D28" s="124">
        <v>12065474</v>
      </c>
      <c r="E28" s="461" t="s">
        <v>17</v>
      </c>
      <c r="F28" s="124">
        <f t="shared" si="0"/>
        <v>12065474</v>
      </c>
      <c r="G28" s="124"/>
      <c r="H28" s="124"/>
      <c r="I28" s="461"/>
      <c r="J28" s="124"/>
    </row>
    <row r="29" spans="1:10" ht="16.5" x14ac:dyDescent="0.3">
      <c r="A29" s="72"/>
      <c r="B29" s="339"/>
      <c r="C29" s="462">
        <f>SUM(C11:C28)</f>
        <v>300994175.53999996</v>
      </c>
      <c r="D29" s="462">
        <f>SUM(D11:D28)</f>
        <v>22928038</v>
      </c>
      <c r="E29" s="462">
        <f t="shared" ref="E29:F29" si="2">SUM(E11:E28)</f>
        <v>0</v>
      </c>
      <c r="F29" s="462">
        <f t="shared" si="2"/>
        <v>323922213.53999996</v>
      </c>
      <c r="G29" s="462">
        <f t="shared" ref="G29:J29" si="3">SUM(G11:G26)</f>
        <v>413357000</v>
      </c>
      <c r="H29" s="462">
        <f t="shared" si="3"/>
        <v>229260000</v>
      </c>
      <c r="I29" s="462">
        <f t="shared" si="3"/>
        <v>0</v>
      </c>
      <c r="J29" s="462">
        <f t="shared" si="3"/>
        <v>642617000</v>
      </c>
    </row>
    <row r="30" spans="1:10" ht="16.5" x14ac:dyDescent="0.3">
      <c r="A30" s="63" t="s">
        <v>274</v>
      </c>
      <c r="B30" s="63" t="s">
        <v>275</v>
      </c>
      <c r="C30" s="63"/>
      <c r="D30" s="63"/>
      <c r="E30" s="63"/>
      <c r="F30" s="88"/>
    </row>
    <row r="31" spans="1:10" ht="16.5" x14ac:dyDescent="0.3">
      <c r="A31" s="63" t="s">
        <v>276</v>
      </c>
      <c r="B31" s="63" t="s">
        <v>277</v>
      </c>
      <c r="C31" s="63"/>
      <c r="D31" s="63"/>
      <c r="E31" s="63"/>
      <c r="F31" s="88"/>
    </row>
    <row r="32" spans="1:10" ht="16.5" x14ac:dyDescent="0.3">
      <c r="A32" s="63" t="s">
        <v>278</v>
      </c>
      <c r="B32" s="63" t="s">
        <v>279</v>
      </c>
      <c r="C32" s="63"/>
      <c r="D32" s="63"/>
      <c r="E32" s="63"/>
      <c r="F32" s="349"/>
    </row>
    <row r="33" spans="1:10" ht="16.5" x14ac:dyDescent="0.3">
      <c r="A33" s="63"/>
      <c r="B33" s="63"/>
      <c r="C33" s="63"/>
      <c r="D33" s="63"/>
      <c r="E33" s="63"/>
      <c r="F33" s="63"/>
    </row>
    <row r="34" spans="1:10" ht="16.5" x14ac:dyDescent="0.3">
      <c r="A34" s="63"/>
      <c r="B34" s="63"/>
      <c r="C34" s="63"/>
      <c r="D34" s="63"/>
      <c r="E34" s="63"/>
      <c r="F34" s="63"/>
    </row>
    <row r="35" spans="1:10" ht="16.5" x14ac:dyDescent="0.3">
      <c r="A35" s="63"/>
      <c r="B35" s="63"/>
      <c r="C35" s="63"/>
      <c r="D35" s="63"/>
      <c r="E35" s="63"/>
      <c r="F35" s="63"/>
    </row>
    <row r="36" spans="1:10" ht="16.5" x14ac:dyDescent="0.3">
      <c r="A36" s="350" t="s">
        <v>678</v>
      </c>
      <c r="E36" s="63"/>
      <c r="F36" s="63"/>
      <c r="G36" s="63"/>
      <c r="H36" s="353"/>
      <c r="J36" s="351" t="s">
        <v>606</v>
      </c>
    </row>
    <row r="37" spans="1:10" ht="16.5" x14ac:dyDescent="0.3">
      <c r="A37" s="114" t="s">
        <v>679</v>
      </c>
      <c r="E37" s="63"/>
      <c r="F37" s="63"/>
      <c r="G37" s="63"/>
      <c r="H37" s="354"/>
      <c r="J37" s="352" t="s">
        <v>604</v>
      </c>
    </row>
    <row r="41" spans="1:10" ht="15" x14ac:dyDescent="0.25">
      <c r="A41" s="350" t="s">
        <v>650</v>
      </c>
      <c r="B41" s="7"/>
      <c r="C41" s="17"/>
    </row>
    <row r="42" spans="1:10" ht="15" x14ac:dyDescent="0.25">
      <c r="A42" s="114" t="s">
        <v>480</v>
      </c>
      <c r="B42" s="7"/>
      <c r="C42" s="17"/>
      <c r="J42" s="449" t="s">
        <v>605</v>
      </c>
    </row>
    <row r="43" spans="1:10" ht="16.5" x14ac:dyDescent="0.3">
      <c r="I43" s="63"/>
      <c r="J43" s="449"/>
    </row>
    <row r="44" spans="1:10" ht="15" x14ac:dyDescent="0.25">
      <c r="I44" s="1"/>
      <c r="J44" s="449"/>
    </row>
    <row r="45" spans="1:10" ht="15.75" x14ac:dyDescent="0.3">
      <c r="A45" s="34" t="s">
        <v>410</v>
      </c>
      <c r="B45" s="7"/>
      <c r="I45" s="1"/>
      <c r="J45" s="450"/>
    </row>
    <row r="46" spans="1:10" ht="15.75" x14ac:dyDescent="0.3">
      <c r="A46" s="255" t="s">
        <v>677</v>
      </c>
      <c r="B46" s="7"/>
      <c r="J46" s="450"/>
    </row>
  </sheetData>
  <mergeCells count="15">
    <mergeCell ref="A1:J1"/>
    <mergeCell ref="C5:F5"/>
    <mergeCell ref="B5:B8"/>
    <mergeCell ref="A5:A8"/>
    <mergeCell ref="H6:H8"/>
    <mergeCell ref="A3:J3"/>
    <mergeCell ref="D6:D8"/>
    <mergeCell ref="E6:E8"/>
    <mergeCell ref="F6:F8"/>
    <mergeCell ref="A4:J4"/>
    <mergeCell ref="I6:I8"/>
    <mergeCell ref="J6:J8"/>
    <mergeCell ref="G5:J5"/>
    <mergeCell ref="G6:G8"/>
    <mergeCell ref="C6:C8"/>
  </mergeCells>
  <phoneticPr fontId="6" type="noConversion"/>
  <printOptions horizontalCentered="1" verticalCentered="1"/>
  <pageMargins left="0.2" right="0.23" top="0.46" bottom="0.39" header="0.5" footer="0.5"/>
  <pageSetup scale="73" orientation="landscape" horizontalDpi="429496729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topLeftCell="A22" zoomScale="85" zoomScaleNormal="85" zoomScaleSheetLayoutView="85" workbookViewId="0">
      <selection sqref="A1:J41"/>
    </sheetView>
  </sheetViews>
  <sheetFormatPr defaultRowHeight="14.25" x14ac:dyDescent="0.2"/>
  <cols>
    <col min="1" max="1" width="4.625" customWidth="1"/>
    <col min="2" max="2" width="27.625" customWidth="1"/>
    <col min="3" max="3" width="19.5" customWidth="1"/>
    <col min="4" max="4" width="18.375" customWidth="1"/>
    <col min="5" max="5" width="17.5" customWidth="1"/>
    <col min="6" max="6" width="19.25" bestFit="1" customWidth="1"/>
    <col min="7" max="7" width="19.25" customWidth="1"/>
    <col min="8" max="8" width="18.625" customWidth="1"/>
    <col min="9" max="9" width="17.5" customWidth="1"/>
    <col min="10" max="10" width="19.75" customWidth="1"/>
  </cols>
  <sheetData>
    <row r="1" spans="1:10" ht="18.75" x14ac:dyDescent="0.3">
      <c r="A1" s="517" t="s">
        <v>280</v>
      </c>
      <c r="B1" s="517"/>
      <c r="C1" s="517"/>
      <c r="D1" s="517"/>
      <c r="E1" s="517"/>
      <c r="F1" s="517"/>
      <c r="G1" s="517"/>
      <c r="H1" s="517"/>
      <c r="I1" s="517"/>
      <c r="J1" s="517"/>
    </row>
    <row r="2" spans="1:10" ht="18.75" x14ac:dyDescent="0.3">
      <c r="A2" s="217"/>
      <c r="B2" s="217"/>
      <c r="C2" s="217"/>
      <c r="D2" s="217"/>
      <c r="E2" s="217"/>
      <c r="F2" s="217"/>
    </row>
    <row r="3" spans="1:10" ht="16.5" x14ac:dyDescent="0.3">
      <c r="A3" s="518" t="s">
        <v>281</v>
      </c>
      <c r="B3" s="518"/>
      <c r="C3" s="518"/>
      <c r="D3" s="518"/>
      <c r="E3" s="518"/>
      <c r="F3" s="518"/>
      <c r="G3" s="518"/>
      <c r="H3" s="518"/>
      <c r="I3" s="518"/>
      <c r="J3" s="518"/>
    </row>
    <row r="4" spans="1:10" ht="15" x14ac:dyDescent="0.25">
      <c r="A4" s="610" t="s">
        <v>353</v>
      </c>
      <c r="B4" s="610"/>
      <c r="C4" s="610"/>
      <c r="D4" s="610"/>
      <c r="E4" s="610"/>
      <c r="F4" s="610"/>
      <c r="G4" s="610"/>
      <c r="H4" s="610"/>
      <c r="I4" s="610"/>
      <c r="J4" s="610"/>
    </row>
    <row r="5" spans="1:10" ht="15" customHeight="1" x14ac:dyDescent="0.25">
      <c r="A5" s="570" t="s">
        <v>253</v>
      </c>
      <c r="B5" s="609" t="s">
        <v>254</v>
      </c>
      <c r="C5" s="608" t="s">
        <v>655</v>
      </c>
      <c r="D5" s="608"/>
      <c r="E5" s="608"/>
      <c r="F5" s="608"/>
      <c r="G5" s="600" t="s">
        <v>656</v>
      </c>
      <c r="H5" s="600"/>
      <c r="I5" s="600"/>
      <c r="J5" s="600"/>
    </row>
    <row r="6" spans="1:10" ht="14.25" customHeight="1" x14ac:dyDescent="0.2">
      <c r="A6" s="570"/>
      <c r="B6" s="609"/>
      <c r="C6" s="564" t="s">
        <v>359</v>
      </c>
      <c r="D6" s="564" t="s">
        <v>282</v>
      </c>
      <c r="E6" s="564" t="s">
        <v>283</v>
      </c>
      <c r="F6" s="564" t="s">
        <v>284</v>
      </c>
      <c r="G6" s="564" t="s">
        <v>359</v>
      </c>
      <c r="H6" s="564" t="s">
        <v>282</v>
      </c>
      <c r="I6" s="564" t="s">
        <v>283</v>
      </c>
      <c r="J6" s="564" t="s">
        <v>284</v>
      </c>
    </row>
    <row r="7" spans="1:10" ht="30.75" customHeight="1" x14ac:dyDescent="0.2">
      <c r="A7" s="570"/>
      <c r="B7" s="609"/>
      <c r="C7" s="539"/>
      <c r="D7" s="539"/>
      <c r="E7" s="539"/>
      <c r="F7" s="539"/>
      <c r="G7" s="539"/>
      <c r="H7" s="539"/>
      <c r="I7" s="539"/>
      <c r="J7" s="539"/>
    </row>
    <row r="8" spans="1:10" ht="30.75" customHeight="1" x14ac:dyDescent="0.2">
      <c r="A8" s="570"/>
      <c r="B8" s="609"/>
      <c r="C8" s="539"/>
      <c r="D8" s="539"/>
      <c r="E8" s="539"/>
      <c r="F8" s="539"/>
      <c r="G8" s="539"/>
      <c r="H8" s="539"/>
      <c r="I8" s="539"/>
      <c r="J8" s="539"/>
    </row>
    <row r="9" spans="1:10" ht="16.5" x14ac:dyDescent="0.3">
      <c r="A9" s="192" t="s">
        <v>55</v>
      </c>
      <c r="B9" s="73" t="s">
        <v>259</v>
      </c>
      <c r="C9" s="68"/>
      <c r="D9" s="73"/>
      <c r="E9" s="67"/>
      <c r="F9" s="74"/>
      <c r="G9" s="68"/>
      <c r="H9" s="73"/>
      <c r="I9" s="67"/>
      <c r="J9" s="74"/>
    </row>
    <row r="10" spans="1:10" ht="16.5" x14ac:dyDescent="0.3">
      <c r="A10" s="192" t="s">
        <v>54</v>
      </c>
      <c r="B10" s="73" t="s">
        <v>260</v>
      </c>
      <c r="C10" s="68"/>
      <c r="D10" s="73"/>
      <c r="E10" s="67"/>
      <c r="F10" s="74"/>
      <c r="G10" s="68"/>
      <c r="H10" s="73"/>
      <c r="I10" s="67"/>
      <c r="J10" s="74"/>
    </row>
    <row r="11" spans="1:10" ht="16.5" x14ac:dyDescent="0.3">
      <c r="A11" s="192" t="s">
        <v>192</v>
      </c>
      <c r="B11" s="73" t="s">
        <v>261</v>
      </c>
      <c r="C11" s="123">
        <f>'Form V'!C11-'Form N'!C11</f>
        <v>16174120</v>
      </c>
      <c r="D11" s="81">
        <f>'Form V'!D11</f>
        <v>0</v>
      </c>
      <c r="E11" s="123">
        <f>'Form N'!D11</f>
        <v>340110</v>
      </c>
      <c r="F11" s="123">
        <f>+C11+D11-E11</f>
        <v>15834010</v>
      </c>
      <c r="G11" s="123">
        <v>16174120</v>
      </c>
      <c r="H11" s="81">
        <f>'Form V'!H11</f>
        <v>0</v>
      </c>
      <c r="I11" s="123">
        <f>'Form N'!H11</f>
        <v>340000</v>
      </c>
      <c r="J11" s="123">
        <f>G11+H11-I11</f>
        <v>15834120</v>
      </c>
    </row>
    <row r="12" spans="1:10" ht="16.5" x14ac:dyDescent="0.3">
      <c r="A12" s="192" t="s">
        <v>196</v>
      </c>
      <c r="B12" s="73" t="s">
        <v>262</v>
      </c>
      <c r="C12" s="123">
        <f>'Form V'!C12-'Form N'!C12</f>
        <v>0</v>
      </c>
      <c r="D12" s="81">
        <f>'Form V'!D12</f>
        <v>0</v>
      </c>
      <c r="E12" s="123">
        <f>'Form N'!D12</f>
        <v>0</v>
      </c>
      <c r="F12" s="123">
        <f t="shared" ref="F12:F23" si="0">+C12+D12-E12</f>
        <v>0</v>
      </c>
      <c r="G12" s="123">
        <v>0</v>
      </c>
      <c r="H12" s="81">
        <f>'Form V'!H12</f>
        <v>0</v>
      </c>
      <c r="I12" s="123">
        <f>'Form N'!H12</f>
        <v>0</v>
      </c>
      <c r="J12" s="123">
        <f t="shared" ref="J12:J23" si="1">G12+H12-I12</f>
        <v>0</v>
      </c>
    </row>
    <row r="13" spans="1:10" ht="16.5" x14ac:dyDescent="0.3">
      <c r="A13" s="192" t="s">
        <v>239</v>
      </c>
      <c r="B13" s="73" t="s">
        <v>263</v>
      </c>
      <c r="C13" s="123">
        <f>'Form V'!C13-'Form N'!C13</f>
        <v>0</v>
      </c>
      <c r="D13" s="81">
        <f>'Form V'!D13</f>
        <v>0</v>
      </c>
      <c r="E13" s="123">
        <f>'Form N'!D13</f>
        <v>0</v>
      </c>
      <c r="F13" s="123">
        <f t="shared" si="0"/>
        <v>0</v>
      </c>
      <c r="G13" s="123">
        <v>0</v>
      </c>
      <c r="H13" s="81">
        <f>'Form V'!H13</f>
        <v>0</v>
      </c>
      <c r="I13" s="123">
        <f>'Form N'!H13</f>
        <v>0</v>
      </c>
      <c r="J13" s="123">
        <f t="shared" si="1"/>
        <v>0</v>
      </c>
    </row>
    <row r="14" spans="1:10" ht="16.5" x14ac:dyDescent="0.3">
      <c r="A14" s="192" t="s">
        <v>241</v>
      </c>
      <c r="B14" s="73" t="s">
        <v>264</v>
      </c>
      <c r="C14" s="123">
        <f>'Form V'!C14-'Form N'!C14</f>
        <v>0</v>
      </c>
      <c r="D14" s="81">
        <f>'Form V'!D14</f>
        <v>0</v>
      </c>
      <c r="E14" s="123">
        <f>'Form N'!D14</f>
        <v>0</v>
      </c>
      <c r="F14" s="123">
        <f t="shared" si="0"/>
        <v>0</v>
      </c>
      <c r="G14" s="123">
        <v>0</v>
      </c>
      <c r="H14" s="81">
        <f>'Form V'!H14</f>
        <v>0</v>
      </c>
      <c r="I14" s="123">
        <f>'Form N'!H14</f>
        <v>0</v>
      </c>
      <c r="J14" s="123">
        <f t="shared" si="1"/>
        <v>0</v>
      </c>
    </row>
    <row r="15" spans="1:10" ht="16.5" x14ac:dyDescent="0.3">
      <c r="A15" s="192" t="s">
        <v>265</v>
      </c>
      <c r="B15" s="73" t="s">
        <v>266</v>
      </c>
      <c r="C15" s="123">
        <f>'Form V'!C15-'Form N'!C15</f>
        <v>0</v>
      </c>
      <c r="D15" s="81">
        <f>'Form V'!D15</f>
        <v>0</v>
      </c>
      <c r="E15" s="123">
        <f>'Form N'!D15</f>
        <v>0</v>
      </c>
      <c r="F15" s="123">
        <f t="shared" si="0"/>
        <v>0</v>
      </c>
      <c r="G15" s="123">
        <v>0</v>
      </c>
      <c r="H15" s="81">
        <f>'Form V'!H15</f>
        <v>0</v>
      </c>
      <c r="I15" s="123">
        <f>'Form N'!H15</f>
        <v>0</v>
      </c>
      <c r="J15" s="123">
        <f t="shared" si="1"/>
        <v>0</v>
      </c>
    </row>
    <row r="16" spans="1:10" ht="16.5" x14ac:dyDescent="0.3">
      <c r="A16" s="192" t="s">
        <v>57</v>
      </c>
      <c r="B16" s="73" t="s">
        <v>267</v>
      </c>
      <c r="C16" s="123">
        <f>'Form V'!C16-'Form N'!C16</f>
        <v>49601504.079999998</v>
      </c>
      <c r="D16" s="81">
        <f>'Form V'!D16</f>
        <v>0</v>
      </c>
      <c r="E16" s="123">
        <f>'Form N'!D16</f>
        <v>2383004</v>
      </c>
      <c r="F16" s="123">
        <f t="shared" si="0"/>
        <v>47218500.079999998</v>
      </c>
      <c r="G16" s="123">
        <v>133361093</v>
      </c>
      <c r="H16" s="81">
        <f>'Form V'!H16</f>
        <v>182961000</v>
      </c>
      <c r="I16" s="123">
        <f>'Form N'!H16</f>
        <v>5414000</v>
      </c>
      <c r="J16" s="123">
        <f t="shared" si="1"/>
        <v>310908093</v>
      </c>
    </row>
    <row r="17" spans="1:10" ht="16.5" x14ac:dyDescent="0.3">
      <c r="A17" s="192" t="s">
        <v>59</v>
      </c>
      <c r="B17" s="73" t="s">
        <v>268</v>
      </c>
      <c r="C17" s="123">
        <f>'Form V'!C17-'Form N'!C17</f>
        <v>151474596.19999999</v>
      </c>
      <c r="D17" s="81">
        <f>'Form V'!D17</f>
        <v>4713674</v>
      </c>
      <c r="E17" s="123">
        <f>'Form N'!D17</f>
        <v>7304119</v>
      </c>
      <c r="F17" s="123">
        <f t="shared" si="0"/>
        <v>148884151.19999999</v>
      </c>
      <c r="G17" s="123">
        <v>159591734</v>
      </c>
      <c r="H17" s="81">
        <f>'Form V'!H17</f>
        <v>46299000</v>
      </c>
      <c r="I17" s="123">
        <f>'Form N'!H17</f>
        <v>7573000</v>
      </c>
      <c r="J17" s="123">
        <f t="shared" si="1"/>
        <v>198317734</v>
      </c>
    </row>
    <row r="18" spans="1:10" ht="16.5" x14ac:dyDescent="0.3">
      <c r="A18" s="192" t="s">
        <v>235</v>
      </c>
      <c r="B18" s="73" t="s">
        <v>269</v>
      </c>
      <c r="C18" s="123">
        <f>'Form V'!C18-'Form N'!C18</f>
        <v>5330373</v>
      </c>
      <c r="D18" s="81">
        <f>'Form V'!D18</f>
        <v>0</v>
      </c>
      <c r="E18" s="123">
        <f>'Form N'!D18</f>
        <v>299834</v>
      </c>
      <c r="F18" s="123">
        <f t="shared" si="0"/>
        <v>5030539</v>
      </c>
      <c r="G18" s="123">
        <v>26329686</v>
      </c>
      <c r="H18" s="81">
        <f>'Form V'!H18</f>
        <v>0</v>
      </c>
      <c r="I18" s="123">
        <f>'Form N'!H18</f>
        <v>1056000</v>
      </c>
      <c r="J18" s="123">
        <f t="shared" si="1"/>
        <v>25273686</v>
      </c>
    </row>
    <row r="19" spans="1:10" ht="16.5" x14ac:dyDescent="0.3">
      <c r="A19" s="192" t="s">
        <v>71</v>
      </c>
      <c r="B19" s="73" t="s">
        <v>270</v>
      </c>
      <c r="C19" s="123">
        <f>'Form V'!C19-'Form N'!C19</f>
        <v>1410752.5</v>
      </c>
      <c r="D19" s="81">
        <f>'Form V'!D19</f>
        <v>1045977</v>
      </c>
      <c r="E19" s="123">
        <f>'Form N'!D19</f>
        <v>87877</v>
      </c>
      <c r="F19" s="123">
        <f t="shared" si="0"/>
        <v>2368852.5</v>
      </c>
      <c r="G19" s="123">
        <v>2810735</v>
      </c>
      <c r="H19" s="81">
        <f>'Form V'!H19</f>
        <v>0</v>
      </c>
      <c r="I19" s="123">
        <f>'Form N'!H19</f>
        <v>138000</v>
      </c>
      <c r="J19" s="123">
        <f t="shared" si="1"/>
        <v>2672735</v>
      </c>
    </row>
    <row r="20" spans="1:10" ht="16.5" x14ac:dyDescent="0.3">
      <c r="A20" s="192" t="s">
        <v>75</v>
      </c>
      <c r="B20" s="73" t="s">
        <v>271</v>
      </c>
      <c r="C20" s="123">
        <f>'Form V'!C20-'Form N'!C20</f>
        <v>198027.76</v>
      </c>
      <c r="D20" s="81">
        <f>'Form V'!D20</f>
        <v>0</v>
      </c>
      <c r="E20" s="123">
        <f>'Form N'!D20</f>
        <v>9133</v>
      </c>
      <c r="F20" s="123">
        <f t="shared" si="0"/>
        <v>188894.76</v>
      </c>
      <c r="G20" s="123">
        <v>397367</v>
      </c>
      <c r="H20" s="81">
        <f>'Form V'!H20</f>
        <v>0</v>
      </c>
      <c r="I20" s="123">
        <f>'Form N'!H20</f>
        <v>16000</v>
      </c>
      <c r="J20" s="123">
        <f t="shared" si="1"/>
        <v>381367</v>
      </c>
    </row>
    <row r="21" spans="1:10" ht="16.5" x14ac:dyDescent="0.3">
      <c r="A21" s="192" t="s">
        <v>246</v>
      </c>
      <c r="B21" s="73" t="s">
        <v>272</v>
      </c>
      <c r="C21" s="123">
        <f>'Form V'!C21-'Form N'!C21</f>
        <v>0</v>
      </c>
      <c r="D21" s="81">
        <f>'Form V'!D21</f>
        <v>0</v>
      </c>
      <c r="E21" s="123">
        <f>'Form N'!D21</f>
        <v>0</v>
      </c>
      <c r="F21" s="123">
        <f t="shared" si="0"/>
        <v>0</v>
      </c>
      <c r="G21" s="123">
        <v>0</v>
      </c>
      <c r="H21" s="81">
        <f>'Form V'!H21</f>
        <v>0</v>
      </c>
      <c r="I21" s="123">
        <f>'Form N'!H21</f>
        <v>0</v>
      </c>
      <c r="J21" s="123">
        <f t="shared" si="1"/>
        <v>0</v>
      </c>
    </row>
    <row r="22" spans="1:10" ht="16.5" x14ac:dyDescent="0.3">
      <c r="A22" s="192" t="s">
        <v>248</v>
      </c>
      <c r="B22" s="73" t="s">
        <v>273</v>
      </c>
      <c r="C22" s="123">
        <f>'Form V'!C22-'Form N'!C22</f>
        <v>0</v>
      </c>
      <c r="D22" s="81">
        <f>'Form V'!D22</f>
        <v>0</v>
      </c>
      <c r="E22" s="123">
        <f>'Form N'!D22</f>
        <v>0</v>
      </c>
      <c r="F22" s="123">
        <f t="shared" si="0"/>
        <v>0</v>
      </c>
      <c r="G22" s="123">
        <v>0</v>
      </c>
      <c r="H22" s="81">
        <f>'Form V'!H22</f>
        <v>0</v>
      </c>
      <c r="I22" s="123">
        <f>'Form N'!H22</f>
        <v>0</v>
      </c>
      <c r="J22" s="123">
        <f t="shared" si="1"/>
        <v>0</v>
      </c>
    </row>
    <row r="23" spans="1:10" ht="16.5" x14ac:dyDescent="0.3">
      <c r="A23" s="131"/>
      <c r="B23" s="70"/>
      <c r="C23" s="123">
        <f>('Form V'!C23+'Form V'!C24+'Form V'!C25+'Form V'!C26+'Form V'!C27+'Form V'!C28)-('Form N'!C23)</f>
        <v>1969910</v>
      </c>
      <c r="D23" s="81">
        <f>'Form V'!D23+'Form V'!D24+'Form V'!D25+'Form V'!D26+'Form V'!D27+'Form V'!D28</f>
        <v>17168387</v>
      </c>
      <c r="E23" s="123">
        <f>'Form N'!D23</f>
        <v>29643</v>
      </c>
      <c r="F23" s="123">
        <f t="shared" si="0"/>
        <v>19108654</v>
      </c>
      <c r="G23" s="123">
        <v>74620</v>
      </c>
      <c r="H23" s="81">
        <f>'Form V'!H23</f>
        <v>0</v>
      </c>
      <c r="I23" s="123">
        <f>'Form N'!H23</f>
        <v>3000</v>
      </c>
      <c r="J23" s="123">
        <f t="shared" si="1"/>
        <v>71620</v>
      </c>
    </row>
    <row r="24" spans="1:10" ht="16.5" x14ac:dyDescent="0.3">
      <c r="A24" s="339"/>
      <c r="B24" s="339"/>
      <c r="C24" s="274">
        <f>SUM(C11:C23)</f>
        <v>226159283.53999996</v>
      </c>
      <c r="D24" s="274">
        <f t="shared" ref="D24:J24" si="2">SUM(D11:D23)</f>
        <v>22928038</v>
      </c>
      <c r="E24" s="274">
        <f t="shared" si="2"/>
        <v>10453720</v>
      </c>
      <c r="F24" s="274">
        <f t="shared" si="2"/>
        <v>238633601.53999996</v>
      </c>
      <c r="G24" s="274">
        <f t="shared" si="2"/>
        <v>338739355</v>
      </c>
      <c r="H24" s="274">
        <f t="shared" si="2"/>
        <v>229260000</v>
      </c>
      <c r="I24" s="274">
        <f t="shared" si="2"/>
        <v>14540000</v>
      </c>
      <c r="J24" s="274">
        <f t="shared" si="2"/>
        <v>553459355</v>
      </c>
    </row>
    <row r="25" spans="1:10" ht="16.5" x14ac:dyDescent="0.3">
      <c r="A25" s="73" t="s">
        <v>274</v>
      </c>
      <c r="B25" s="73" t="s">
        <v>275</v>
      </c>
      <c r="C25" s="73"/>
      <c r="D25" s="73"/>
      <c r="E25" s="73"/>
      <c r="F25" s="73"/>
    </row>
    <row r="26" spans="1:10" ht="16.5" x14ac:dyDescent="0.3">
      <c r="A26" s="73" t="s">
        <v>276</v>
      </c>
      <c r="B26" s="73" t="s">
        <v>277</v>
      </c>
      <c r="C26" s="73"/>
      <c r="D26" s="73"/>
      <c r="E26" s="73"/>
      <c r="F26" s="73"/>
    </row>
    <row r="27" spans="1:10" ht="16.5" x14ac:dyDescent="0.3">
      <c r="A27" s="73" t="s">
        <v>278</v>
      </c>
      <c r="B27" s="73" t="s">
        <v>279</v>
      </c>
      <c r="C27" s="73"/>
      <c r="D27" s="73"/>
      <c r="E27" s="73"/>
      <c r="F27" s="73"/>
    </row>
    <row r="28" spans="1:10" ht="16.5" x14ac:dyDescent="0.3">
      <c r="A28" s="63"/>
      <c r="B28" s="63"/>
      <c r="C28" s="63"/>
      <c r="D28" s="421"/>
      <c r="E28" s="63"/>
      <c r="F28" s="63"/>
    </row>
    <row r="29" spans="1:10" ht="16.5" x14ac:dyDescent="0.3">
      <c r="A29" s="63"/>
      <c r="B29" s="63"/>
      <c r="C29" s="63"/>
      <c r="D29" s="63"/>
      <c r="E29" s="63"/>
      <c r="F29" s="63"/>
    </row>
    <row r="30" spans="1:10" ht="16.5" x14ac:dyDescent="0.3">
      <c r="A30" s="63"/>
      <c r="B30" s="63"/>
      <c r="C30" s="63"/>
      <c r="D30" s="63"/>
      <c r="E30" s="63"/>
      <c r="F30" s="63"/>
    </row>
    <row r="31" spans="1:10" ht="16.5" x14ac:dyDescent="0.3">
      <c r="A31" s="350" t="s">
        <v>678</v>
      </c>
      <c r="E31" s="63"/>
      <c r="F31" s="63"/>
      <c r="G31" s="63"/>
      <c r="H31" s="353"/>
      <c r="J31" s="351" t="s">
        <v>606</v>
      </c>
    </row>
    <row r="32" spans="1:10" ht="16.5" x14ac:dyDescent="0.3">
      <c r="A32" s="114" t="s">
        <v>679</v>
      </c>
      <c r="E32" s="63"/>
      <c r="F32" s="63"/>
      <c r="G32" s="63"/>
      <c r="H32" s="354"/>
      <c r="J32" s="352" t="s">
        <v>604</v>
      </c>
    </row>
    <row r="36" spans="1:10" ht="15" x14ac:dyDescent="0.25">
      <c r="A36" s="350" t="s">
        <v>650</v>
      </c>
      <c r="B36" s="7"/>
      <c r="C36" s="17"/>
    </row>
    <row r="37" spans="1:10" ht="15" x14ac:dyDescent="0.25">
      <c r="A37" s="114" t="s">
        <v>480</v>
      </c>
      <c r="B37" s="7"/>
      <c r="C37" s="17"/>
      <c r="J37" s="449" t="s">
        <v>605</v>
      </c>
    </row>
    <row r="38" spans="1:10" ht="16.5" x14ac:dyDescent="0.3">
      <c r="I38" s="63"/>
      <c r="J38" s="449"/>
    </row>
    <row r="39" spans="1:10" ht="15" x14ac:dyDescent="0.25">
      <c r="I39" s="1"/>
      <c r="J39" s="449"/>
    </row>
    <row r="40" spans="1:10" ht="15.75" x14ac:dyDescent="0.3">
      <c r="A40" s="34" t="s">
        <v>410</v>
      </c>
      <c r="B40" s="7"/>
      <c r="I40" s="1"/>
      <c r="J40" s="450"/>
    </row>
    <row r="41" spans="1:10" ht="15.75" x14ac:dyDescent="0.3">
      <c r="A41" s="255" t="s">
        <v>677</v>
      </c>
      <c r="B41" s="7"/>
      <c r="J41" s="450"/>
    </row>
  </sheetData>
  <mergeCells count="15">
    <mergeCell ref="A1:J1"/>
    <mergeCell ref="C5:F5"/>
    <mergeCell ref="B5:B8"/>
    <mergeCell ref="A5:A8"/>
    <mergeCell ref="J6:J8"/>
    <mergeCell ref="A3:J3"/>
    <mergeCell ref="E6:E8"/>
    <mergeCell ref="F6:F8"/>
    <mergeCell ref="C6:C8"/>
    <mergeCell ref="A4:J4"/>
    <mergeCell ref="G5:J5"/>
    <mergeCell ref="G6:G8"/>
    <mergeCell ref="I6:I8"/>
    <mergeCell ref="H6:H8"/>
    <mergeCell ref="D6:D8"/>
  </mergeCells>
  <phoneticPr fontId="6" type="noConversion"/>
  <printOptions horizontalCentered="1" verticalCentered="1"/>
  <pageMargins left="0.43" right="0.23" top="0.55000000000000004" bottom="0.5" header="0.5" footer="0.5"/>
  <pageSetup scale="68" orientation="landscape" horizontalDpi="4294967292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view="pageBreakPreview" topLeftCell="A37" zoomScaleNormal="100" workbookViewId="0">
      <selection sqref="A1:D49"/>
    </sheetView>
  </sheetViews>
  <sheetFormatPr defaultColWidth="8" defaultRowHeight="12.75" x14ac:dyDescent="0.2"/>
  <cols>
    <col min="1" max="1" width="7.625" style="7" customWidth="1"/>
    <col min="2" max="2" width="43.75" style="7" customWidth="1"/>
    <col min="3" max="3" width="16.75" style="7" customWidth="1"/>
    <col min="4" max="4" width="16.625" style="7" customWidth="1"/>
    <col min="5" max="16384" width="8" style="7"/>
  </cols>
  <sheetData>
    <row r="1" spans="1:4" ht="18.75" x14ac:dyDescent="0.3">
      <c r="A1" s="611" t="s">
        <v>307</v>
      </c>
      <c r="B1" s="611"/>
      <c r="C1" s="611"/>
      <c r="D1" s="611"/>
    </row>
    <row r="2" spans="1:4" ht="13.5" x14ac:dyDescent="0.25">
      <c r="A2" s="278"/>
      <c r="B2" s="278"/>
      <c r="C2" s="278"/>
    </row>
    <row r="3" spans="1:4" ht="16.5" x14ac:dyDescent="0.3">
      <c r="A3" s="612" t="s">
        <v>308</v>
      </c>
      <c r="B3" s="612"/>
      <c r="C3" s="612"/>
      <c r="D3" s="612"/>
    </row>
    <row r="4" spans="1:4" x14ac:dyDescent="0.2">
      <c r="A4" s="13"/>
      <c r="B4" s="13"/>
      <c r="C4" s="13"/>
    </row>
    <row r="5" spans="1:4" ht="15" x14ac:dyDescent="0.2">
      <c r="A5" s="591" t="s">
        <v>79</v>
      </c>
      <c r="B5" s="591" t="s">
        <v>3</v>
      </c>
      <c r="C5" s="393" t="s">
        <v>623</v>
      </c>
      <c r="D5" s="394" t="s">
        <v>623</v>
      </c>
    </row>
    <row r="6" spans="1:4" ht="30" x14ac:dyDescent="0.2">
      <c r="A6" s="592"/>
      <c r="B6" s="592"/>
      <c r="C6" s="395" t="s">
        <v>590</v>
      </c>
      <c r="D6" s="396" t="s">
        <v>592</v>
      </c>
    </row>
    <row r="7" spans="1:4" ht="16.5" x14ac:dyDescent="0.3">
      <c r="A7" s="260"/>
      <c r="B7" s="247"/>
      <c r="C7" s="247"/>
      <c r="D7" s="247"/>
    </row>
    <row r="8" spans="1:4" ht="16.5" x14ac:dyDescent="0.3">
      <c r="A8" s="260" t="s">
        <v>564</v>
      </c>
      <c r="B8" s="247" t="s">
        <v>309</v>
      </c>
      <c r="C8" s="124">
        <f>'Form C (2)'!C6</f>
        <v>323922213.53999996</v>
      </c>
      <c r="D8" s="124">
        <f>'Form C (2)'!D6</f>
        <v>642617000</v>
      </c>
    </row>
    <row r="9" spans="1:4" ht="16.5" x14ac:dyDescent="0.3">
      <c r="A9" s="267" t="s">
        <v>565</v>
      </c>
      <c r="B9" s="247" t="s">
        <v>310</v>
      </c>
      <c r="C9" s="124"/>
      <c r="D9" s="124"/>
    </row>
    <row r="10" spans="1:4" ht="16.5" x14ac:dyDescent="0.3">
      <c r="A10" s="276" t="s">
        <v>566</v>
      </c>
      <c r="B10" s="247" t="s">
        <v>311</v>
      </c>
      <c r="C10" s="124">
        <f>+'Form X'!C26</f>
        <v>313717231</v>
      </c>
      <c r="D10" s="124">
        <f>+'Form X'!D26</f>
        <v>391525000</v>
      </c>
    </row>
    <row r="11" spans="1:4" ht="16.5" x14ac:dyDescent="0.3">
      <c r="A11" s="277" t="s">
        <v>567</v>
      </c>
      <c r="B11" s="247" t="s">
        <v>312</v>
      </c>
      <c r="C11" s="124"/>
      <c r="D11" s="124"/>
    </row>
    <row r="12" spans="1:4" ht="16.5" x14ac:dyDescent="0.3">
      <c r="A12" s="260"/>
      <c r="B12" s="247" t="s">
        <v>313</v>
      </c>
      <c r="C12" s="124"/>
      <c r="D12" s="124"/>
    </row>
    <row r="13" spans="1:4" ht="16.5" x14ac:dyDescent="0.3">
      <c r="A13" s="260"/>
      <c r="B13" s="247"/>
      <c r="C13" s="124"/>
      <c r="D13" s="124"/>
    </row>
    <row r="14" spans="1:4" ht="16.5" x14ac:dyDescent="0.3">
      <c r="A14" s="260"/>
      <c r="B14" s="247" t="s">
        <v>314</v>
      </c>
      <c r="C14" s="124"/>
      <c r="D14" s="124"/>
    </row>
    <row r="15" spans="1:4" ht="49.5" x14ac:dyDescent="0.3">
      <c r="A15" s="260"/>
      <c r="B15" s="249" t="s">
        <v>547</v>
      </c>
      <c r="C15" s="124"/>
      <c r="D15" s="124"/>
    </row>
    <row r="16" spans="1:4" ht="16.5" x14ac:dyDescent="0.3">
      <c r="A16" s="260"/>
      <c r="B16" s="247"/>
      <c r="C16" s="124"/>
      <c r="D16" s="124"/>
    </row>
    <row r="17" spans="1:4" ht="16.5" x14ac:dyDescent="0.3">
      <c r="A17" s="260"/>
      <c r="B17" s="247" t="s">
        <v>315</v>
      </c>
      <c r="C17" s="124">
        <f>'Form C (2)'!C23/12</f>
        <v>978724.80250000011</v>
      </c>
      <c r="D17" s="124">
        <f>'Form C (2)'!D23/12</f>
        <v>3065166.6666666665</v>
      </c>
    </row>
    <row r="18" spans="1:4" ht="49.5" x14ac:dyDescent="0.3">
      <c r="A18" s="260"/>
      <c r="B18" s="249" t="s">
        <v>548</v>
      </c>
      <c r="C18" s="124"/>
      <c r="D18" s="124"/>
    </row>
    <row r="19" spans="1:4" ht="16.5" x14ac:dyDescent="0.3">
      <c r="A19" s="260"/>
      <c r="B19" s="247"/>
      <c r="C19" s="124"/>
      <c r="D19" s="124"/>
    </row>
    <row r="20" spans="1:4" ht="16.5" x14ac:dyDescent="0.3">
      <c r="A20" s="260"/>
      <c r="B20" s="256" t="s">
        <v>316</v>
      </c>
      <c r="C20" s="126">
        <f>C8+C9+C10+C17</f>
        <v>638618169.34249997</v>
      </c>
      <c r="D20" s="126">
        <f>D8+D9+D10+D17</f>
        <v>1037207166.6666666</v>
      </c>
    </row>
    <row r="21" spans="1:4" ht="16.5" x14ac:dyDescent="0.3">
      <c r="A21" s="260"/>
      <c r="B21" s="247"/>
      <c r="C21" s="124"/>
      <c r="D21" s="124"/>
    </row>
    <row r="22" spans="1:4" ht="16.5" x14ac:dyDescent="0.3">
      <c r="A22" s="260"/>
      <c r="B22" s="256" t="s">
        <v>13</v>
      </c>
      <c r="C22" s="124"/>
      <c r="D22" s="124"/>
    </row>
    <row r="23" spans="1:4" ht="16.5" x14ac:dyDescent="0.3">
      <c r="A23" s="260"/>
      <c r="B23" s="247"/>
      <c r="C23" s="124"/>
      <c r="D23" s="124"/>
    </row>
    <row r="24" spans="1:4" ht="33" x14ac:dyDescent="0.3">
      <c r="A24" s="378">
        <v>2</v>
      </c>
      <c r="B24" s="249" t="s">
        <v>549</v>
      </c>
      <c r="C24" s="124">
        <f>'Form N'!F24</f>
        <v>85288612</v>
      </c>
      <c r="D24" s="124">
        <f>'Form N'!J24</f>
        <v>89157645</v>
      </c>
    </row>
    <row r="25" spans="1:4" ht="16.5" x14ac:dyDescent="0.3">
      <c r="A25" s="260"/>
      <c r="B25" s="247"/>
      <c r="C25" s="124"/>
      <c r="D25" s="124"/>
    </row>
    <row r="26" spans="1:4" ht="33" x14ac:dyDescent="0.3">
      <c r="A26" s="260"/>
      <c r="B26" s="249" t="s">
        <v>550</v>
      </c>
      <c r="C26" s="124"/>
      <c r="D26" s="124"/>
    </row>
    <row r="27" spans="1:4" ht="16.5" x14ac:dyDescent="0.3">
      <c r="A27" s="260"/>
      <c r="B27" s="247"/>
      <c r="C27" s="124"/>
      <c r="D27" s="124"/>
    </row>
    <row r="28" spans="1:4" ht="49.5" x14ac:dyDescent="0.3">
      <c r="A28" s="260"/>
      <c r="B28" s="249" t="s">
        <v>551</v>
      </c>
      <c r="C28" s="124">
        <f>'Form C'!C17</f>
        <v>447913548.18000001</v>
      </c>
      <c r="D28" s="124">
        <f>'Form C'!D17</f>
        <v>273086000</v>
      </c>
    </row>
    <row r="29" spans="1:4" ht="33" x14ac:dyDescent="0.3">
      <c r="A29" s="260"/>
      <c r="B29" s="249" t="s">
        <v>552</v>
      </c>
      <c r="C29" s="124"/>
      <c r="D29" s="124"/>
    </row>
    <row r="30" spans="1:4" ht="33.75" customHeight="1" x14ac:dyDescent="0.3">
      <c r="A30" s="260"/>
      <c r="B30" s="249" t="s">
        <v>553</v>
      </c>
      <c r="C30" s="124">
        <f>'Form C (2)'!C31</f>
        <v>77755202</v>
      </c>
      <c r="D30" s="124">
        <f>'Form C (2)'!D31</f>
        <v>64000000</v>
      </c>
    </row>
    <row r="31" spans="1:4" ht="16.5" x14ac:dyDescent="0.3">
      <c r="A31" s="260"/>
      <c r="B31" s="247"/>
      <c r="C31" s="124"/>
      <c r="D31" s="124"/>
    </row>
    <row r="32" spans="1:4" ht="16.5" x14ac:dyDescent="0.3">
      <c r="A32" s="260"/>
      <c r="B32" s="256" t="s">
        <v>317</v>
      </c>
      <c r="C32" s="125">
        <f>SUM(C24:C30)</f>
        <v>610957362.18000007</v>
      </c>
      <c r="D32" s="125">
        <f>SUM(D24:D30)</f>
        <v>426243645</v>
      </c>
    </row>
    <row r="33" spans="1:4" ht="16.5" x14ac:dyDescent="0.3">
      <c r="A33" s="260"/>
      <c r="B33" s="247"/>
      <c r="C33" s="123"/>
      <c r="D33" s="123"/>
    </row>
    <row r="34" spans="1:4" ht="16.5" x14ac:dyDescent="0.3">
      <c r="A34" s="261"/>
      <c r="B34" s="279" t="s">
        <v>318</v>
      </c>
      <c r="C34" s="214">
        <f>C20-C32</f>
        <v>27660807.162499905</v>
      </c>
      <c r="D34" s="214">
        <f>D20-D32</f>
        <v>610963521.66666663</v>
      </c>
    </row>
    <row r="35" spans="1:4" ht="16.5" x14ac:dyDescent="0.3">
      <c r="A35" s="254"/>
      <c r="B35" s="254"/>
      <c r="C35" s="254"/>
    </row>
    <row r="36" spans="1:4" ht="16.5" x14ac:dyDescent="0.3">
      <c r="A36" s="254"/>
      <c r="B36" s="254"/>
      <c r="C36" s="254"/>
    </row>
    <row r="37" spans="1:4" ht="16.5" x14ac:dyDescent="0.3">
      <c r="A37" s="254"/>
      <c r="B37" s="254"/>
      <c r="C37" s="254"/>
    </row>
    <row r="38" spans="1:4" ht="16.5" x14ac:dyDescent="0.3">
      <c r="A38" s="350" t="s">
        <v>678</v>
      </c>
      <c r="C38" s="254"/>
      <c r="D38" s="351" t="s">
        <v>606</v>
      </c>
    </row>
    <row r="39" spans="1:4" ht="16.5" x14ac:dyDescent="0.3">
      <c r="A39" s="114" t="s">
        <v>679</v>
      </c>
      <c r="C39" s="254"/>
      <c r="D39" s="352" t="s">
        <v>604</v>
      </c>
    </row>
    <row r="44" spans="1:4" ht="15" x14ac:dyDescent="0.25">
      <c r="A44" s="350" t="s">
        <v>650</v>
      </c>
      <c r="C44" s="17"/>
      <c r="D44"/>
    </row>
    <row r="45" spans="1:4" ht="15" x14ac:dyDescent="0.25">
      <c r="A45" s="114" t="s">
        <v>480</v>
      </c>
      <c r="C45" s="17"/>
      <c r="D45" s="449" t="s">
        <v>605</v>
      </c>
    </row>
    <row r="46" spans="1:4" ht="16.5" x14ac:dyDescent="0.3">
      <c r="A46" s="34"/>
      <c r="C46" s="63"/>
      <c r="D46" s="449"/>
    </row>
    <row r="47" spans="1:4" ht="15" x14ac:dyDescent="0.25">
      <c r="C47" s="1"/>
      <c r="D47" s="449"/>
    </row>
    <row r="48" spans="1:4" ht="15.75" x14ac:dyDescent="0.3">
      <c r="A48" s="34" t="s">
        <v>410</v>
      </c>
      <c r="C48" s="1"/>
      <c r="D48" s="450"/>
    </row>
    <row r="49" spans="1:4" ht="15" x14ac:dyDescent="0.3">
      <c r="A49" s="255" t="s">
        <v>677</v>
      </c>
      <c r="D49" s="450"/>
    </row>
  </sheetData>
  <mergeCells count="4">
    <mergeCell ref="A1:D1"/>
    <mergeCell ref="A5:A6"/>
    <mergeCell ref="B5:B6"/>
    <mergeCell ref="A3:D3"/>
  </mergeCells>
  <phoneticPr fontId="9" type="noConversion"/>
  <pageMargins left="0.88" right="0.75" top="0.41" bottom="0.54" header="0.21" footer="0.28999999999999998"/>
  <pageSetup scale="75" orientation="portrait" horizontalDpi="4294967292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view="pageBreakPreview" topLeftCell="A13" zoomScale="60" zoomScaleNormal="100" workbookViewId="0">
      <selection sqref="A1:D41"/>
    </sheetView>
  </sheetViews>
  <sheetFormatPr defaultColWidth="8" defaultRowHeight="12.75" x14ac:dyDescent="0.2"/>
  <cols>
    <col min="1" max="1" width="8" style="7" customWidth="1"/>
    <col min="2" max="2" width="28" style="7" bestFit="1" customWidth="1"/>
    <col min="3" max="3" width="18.5" style="17" customWidth="1"/>
    <col min="4" max="4" width="19.5" style="7" customWidth="1"/>
    <col min="5" max="5" width="10.75" style="7" bestFit="1" customWidth="1"/>
    <col min="6" max="16384" width="8" style="7"/>
  </cols>
  <sheetData>
    <row r="1" spans="1:4" ht="18.75" x14ac:dyDescent="0.3">
      <c r="A1" s="614" t="s">
        <v>554</v>
      </c>
      <c r="B1" s="614"/>
      <c r="C1" s="614"/>
      <c r="D1" s="614"/>
    </row>
    <row r="2" spans="1:4" ht="18.75" x14ac:dyDescent="0.3">
      <c r="A2" s="281"/>
      <c r="B2" s="281"/>
      <c r="C2" s="346"/>
    </row>
    <row r="3" spans="1:4" ht="16.5" x14ac:dyDescent="0.3">
      <c r="A3" s="613" t="s">
        <v>319</v>
      </c>
      <c r="B3" s="613"/>
      <c r="C3" s="613"/>
      <c r="D3" s="613"/>
    </row>
    <row r="4" spans="1:4" ht="18.75" x14ac:dyDescent="0.3">
      <c r="A4" s="347"/>
      <c r="B4" s="281"/>
      <c r="C4" s="346"/>
    </row>
    <row r="5" spans="1:4" ht="16.5" x14ac:dyDescent="0.3">
      <c r="A5" s="613" t="s">
        <v>320</v>
      </c>
      <c r="B5" s="613"/>
      <c r="C5" s="613"/>
      <c r="D5" s="613"/>
    </row>
    <row r="6" spans="1:4" ht="13.5" x14ac:dyDescent="0.25">
      <c r="A6" s="280"/>
      <c r="B6" s="280"/>
      <c r="C6" s="348"/>
    </row>
    <row r="7" spans="1:4" ht="15" x14ac:dyDescent="0.2">
      <c r="A7" s="601" t="s">
        <v>79</v>
      </c>
      <c r="B7" s="615" t="s">
        <v>321</v>
      </c>
      <c r="C7" s="393" t="s">
        <v>623</v>
      </c>
      <c r="D7" s="394" t="s">
        <v>623</v>
      </c>
    </row>
    <row r="8" spans="1:4" ht="30" x14ac:dyDescent="0.2">
      <c r="A8" s="592"/>
      <c r="B8" s="590"/>
      <c r="C8" s="395" t="s">
        <v>590</v>
      </c>
      <c r="D8" s="396" t="s">
        <v>592</v>
      </c>
    </row>
    <row r="9" spans="1:4" ht="16.5" x14ac:dyDescent="0.3">
      <c r="A9" s="260"/>
      <c r="B9" s="282"/>
      <c r="C9" s="265"/>
      <c r="D9" s="265"/>
    </row>
    <row r="10" spans="1:4" ht="16.5" x14ac:dyDescent="0.3">
      <c r="A10" s="267">
        <v>1</v>
      </c>
      <c r="B10" s="282" t="s">
        <v>320</v>
      </c>
      <c r="C10" s="272">
        <f>313717231-C24-C12-C15</f>
        <v>194798119</v>
      </c>
      <c r="D10" s="272">
        <f>'Form V'!H29-D12+391525000</f>
        <v>606950000</v>
      </c>
    </row>
    <row r="11" spans="1:4" ht="16.5" x14ac:dyDescent="0.3">
      <c r="A11" s="267"/>
      <c r="B11" s="282"/>
      <c r="C11" s="272"/>
      <c r="D11" s="272"/>
    </row>
    <row r="12" spans="1:4" ht="16.5" x14ac:dyDescent="0.3">
      <c r="A12" s="267">
        <v>2</v>
      </c>
      <c r="B12" s="282" t="s">
        <v>322</v>
      </c>
      <c r="C12" s="272">
        <f>'Form Q'!C6</f>
        <v>1565505</v>
      </c>
      <c r="D12" s="272">
        <f>'Form Q'!D6</f>
        <v>13835000</v>
      </c>
    </row>
    <row r="13" spans="1:4" ht="16.5" x14ac:dyDescent="0.3">
      <c r="A13" s="267"/>
      <c r="B13" s="282" t="s">
        <v>323</v>
      </c>
      <c r="C13" s="272"/>
      <c r="D13" s="272"/>
    </row>
    <row r="14" spans="1:4" ht="16.5" x14ac:dyDescent="0.3">
      <c r="A14" s="267"/>
      <c r="B14" s="282"/>
      <c r="C14" s="272"/>
      <c r="D14" s="272"/>
    </row>
    <row r="15" spans="1:4" ht="16.5" x14ac:dyDescent="0.3">
      <c r="A15" s="267">
        <v>3</v>
      </c>
      <c r="B15" s="282" t="s">
        <v>324</v>
      </c>
      <c r="C15" s="272">
        <f>+'Form Q'!C8</f>
        <v>0</v>
      </c>
      <c r="D15" s="272" t="s">
        <v>302</v>
      </c>
    </row>
    <row r="16" spans="1:4" ht="16.5" x14ac:dyDescent="0.3">
      <c r="A16" s="267"/>
      <c r="B16" s="282"/>
      <c r="C16" s="272"/>
      <c r="D16" s="272"/>
    </row>
    <row r="17" spans="1:4" ht="16.5" x14ac:dyDescent="0.3">
      <c r="A17" s="267">
        <v>4</v>
      </c>
      <c r="B17" s="282" t="s">
        <v>325</v>
      </c>
      <c r="C17" s="272">
        <f>SUM(C10:C16)</f>
        <v>196363624</v>
      </c>
      <c r="D17" s="272">
        <f>SUM(D10:D16)</f>
        <v>620785000</v>
      </c>
    </row>
    <row r="18" spans="1:4" ht="16.5" x14ac:dyDescent="0.3">
      <c r="A18" s="267"/>
      <c r="B18" s="282" t="s">
        <v>326</v>
      </c>
      <c r="C18" s="272"/>
      <c r="D18" s="272"/>
    </row>
    <row r="19" spans="1:4" ht="16.5" x14ac:dyDescent="0.3">
      <c r="A19" s="267"/>
      <c r="B19" s="282" t="s">
        <v>327</v>
      </c>
      <c r="C19" s="272"/>
      <c r="D19" s="272"/>
    </row>
    <row r="20" spans="1:4" ht="16.5" x14ac:dyDescent="0.3">
      <c r="A20" s="267"/>
      <c r="B20" s="282"/>
      <c r="C20" s="272"/>
      <c r="D20" s="272"/>
    </row>
    <row r="21" spans="1:4" ht="16.5" x14ac:dyDescent="0.3">
      <c r="A21" s="267">
        <v>5</v>
      </c>
      <c r="B21" s="282" t="s">
        <v>328</v>
      </c>
      <c r="C21" s="272">
        <v>0</v>
      </c>
      <c r="D21" s="272">
        <f>+'Form V'!H29</f>
        <v>229260000</v>
      </c>
    </row>
    <row r="22" spans="1:4" ht="16.5" x14ac:dyDescent="0.3">
      <c r="A22" s="267"/>
      <c r="B22" s="282" t="s">
        <v>329</v>
      </c>
      <c r="C22" s="272"/>
      <c r="D22" s="272"/>
    </row>
    <row r="23" spans="1:4" ht="16.5" x14ac:dyDescent="0.3">
      <c r="A23" s="267"/>
      <c r="B23" s="282"/>
      <c r="C23" s="272"/>
      <c r="D23" s="272"/>
    </row>
    <row r="24" spans="1:4" ht="16.5" x14ac:dyDescent="0.3">
      <c r="A24" s="267">
        <v>6</v>
      </c>
      <c r="B24" s="282" t="s">
        <v>333</v>
      </c>
      <c r="C24" s="272">
        <v>117353607</v>
      </c>
      <c r="D24" s="272"/>
    </row>
    <row r="25" spans="1:4" ht="16.5" x14ac:dyDescent="0.3">
      <c r="A25" s="267"/>
      <c r="B25" s="282"/>
      <c r="C25" s="272"/>
      <c r="D25" s="272"/>
    </row>
    <row r="26" spans="1:4" ht="16.5" x14ac:dyDescent="0.3">
      <c r="A26" s="267">
        <v>7</v>
      </c>
      <c r="B26" s="285" t="s">
        <v>330</v>
      </c>
      <c r="C26" s="286">
        <f>+C17-C21+C24</f>
        <v>313717231</v>
      </c>
      <c r="D26" s="286">
        <f>+D17-D21</f>
        <v>391525000</v>
      </c>
    </row>
    <row r="27" spans="1:4" ht="16.5" x14ac:dyDescent="0.3">
      <c r="A27" s="271"/>
      <c r="B27" s="283" t="s">
        <v>602</v>
      </c>
      <c r="C27" s="271"/>
      <c r="D27" s="271"/>
    </row>
    <row r="28" spans="1:4" ht="16.5" x14ac:dyDescent="0.3">
      <c r="A28" s="254"/>
      <c r="B28" s="254"/>
      <c r="C28" s="284"/>
    </row>
    <row r="29" spans="1:4" ht="16.5" x14ac:dyDescent="0.3">
      <c r="A29" s="254"/>
      <c r="B29" s="254"/>
      <c r="C29" s="284"/>
    </row>
    <row r="30" spans="1:4" ht="16.5" x14ac:dyDescent="0.3">
      <c r="A30" s="254"/>
      <c r="B30" s="254"/>
      <c r="C30" s="284"/>
    </row>
    <row r="31" spans="1:4" ht="16.5" x14ac:dyDescent="0.3">
      <c r="A31" s="350" t="s">
        <v>678</v>
      </c>
      <c r="C31" s="284"/>
      <c r="D31" s="351" t="s">
        <v>606</v>
      </c>
    </row>
    <row r="32" spans="1:4" ht="16.5" x14ac:dyDescent="0.3">
      <c r="A32" s="114" t="s">
        <v>679</v>
      </c>
      <c r="C32" s="284"/>
      <c r="D32" s="352" t="s">
        <v>604</v>
      </c>
    </row>
    <row r="36" spans="1:4" ht="15" x14ac:dyDescent="0.25">
      <c r="A36" s="350" t="s">
        <v>650</v>
      </c>
      <c r="D36"/>
    </row>
    <row r="37" spans="1:4" ht="15" x14ac:dyDescent="0.25">
      <c r="A37" s="114" t="s">
        <v>480</v>
      </c>
      <c r="D37" s="449" t="s">
        <v>605</v>
      </c>
    </row>
    <row r="38" spans="1:4" ht="16.5" x14ac:dyDescent="0.3">
      <c r="C38" s="63"/>
      <c r="D38" s="449"/>
    </row>
    <row r="39" spans="1:4" ht="15" x14ac:dyDescent="0.25">
      <c r="C39" s="1"/>
      <c r="D39" s="449"/>
    </row>
    <row r="40" spans="1:4" ht="15.75" x14ac:dyDescent="0.3">
      <c r="A40" s="34" t="s">
        <v>410</v>
      </c>
      <c r="C40" s="1"/>
      <c r="D40" s="450"/>
    </row>
    <row r="41" spans="1:4" ht="15" x14ac:dyDescent="0.3">
      <c r="A41" s="255" t="s">
        <v>677</v>
      </c>
      <c r="D41" s="450"/>
    </row>
  </sheetData>
  <mergeCells count="5">
    <mergeCell ref="A3:D3"/>
    <mergeCell ref="A1:D1"/>
    <mergeCell ref="B7:B8"/>
    <mergeCell ref="A7:A8"/>
    <mergeCell ref="A5:D5"/>
  </mergeCells>
  <phoneticPr fontId="9" type="noConversion"/>
  <printOptions horizontalCentered="1" verticalCentered="1"/>
  <pageMargins left="0.75" right="0.75" top="1" bottom="1" header="0.5" footer="0.5"/>
  <pageSetup scale="96" orientation="portrait" horizontalDpi="4294967292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9"/>
  <sheetViews>
    <sheetView view="pageBreakPreview" topLeftCell="A16" zoomScaleNormal="85" zoomScaleSheetLayoutView="100" workbookViewId="0">
      <selection sqref="A1:L39"/>
    </sheetView>
  </sheetViews>
  <sheetFormatPr defaultColWidth="8" defaultRowHeight="12.75" x14ac:dyDescent="0.2"/>
  <cols>
    <col min="1" max="1" width="4.375" style="7" customWidth="1"/>
    <col min="2" max="2" width="16.5" style="7" customWidth="1"/>
    <col min="3" max="3" width="13.25" style="7" customWidth="1"/>
    <col min="4" max="4" width="10.625" style="7" customWidth="1"/>
    <col min="5" max="5" width="13.125" style="7" bestFit="1" customWidth="1"/>
    <col min="6" max="6" width="11.75" style="7" bestFit="1" customWidth="1"/>
    <col min="7" max="7" width="13.125" style="7" bestFit="1" customWidth="1"/>
    <col min="8" max="8" width="10" style="7" bestFit="1" customWidth="1"/>
    <col min="9" max="9" width="9.25" style="7" bestFit="1" customWidth="1"/>
    <col min="10" max="10" width="8.25" style="7" bestFit="1" customWidth="1"/>
    <col min="11" max="11" width="12.625" style="7" bestFit="1" customWidth="1"/>
    <col min="12" max="12" width="12.125" style="7" bestFit="1" customWidth="1"/>
    <col min="13" max="16384" width="8" style="7"/>
  </cols>
  <sheetData>
    <row r="1" spans="1:13" ht="18.75" x14ac:dyDescent="0.3">
      <c r="A1" s="587" t="s">
        <v>331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3" ht="13.5" x14ac:dyDescent="0.2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3" ht="16.5" x14ac:dyDescent="0.3">
      <c r="A3" s="618" t="s">
        <v>332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</row>
    <row r="4" spans="1:13" ht="15.75" x14ac:dyDescent="0.2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3" ht="16.5" x14ac:dyDescent="0.3">
      <c r="A5" s="618" t="s">
        <v>659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</row>
    <row r="6" spans="1:13" ht="13.5" x14ac:dyDescent="0.25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3" ht="16.5" customHeight="1" x14ac:dyDescent="0.25">
      <c r="A7" s="619" t="s">
        <v>288</v>
      </c>
      <c r="B7" s="622" t="s">
        <v>555</v>
      </c>
      <c r="C7" s="588" t="s">
        <v>333</v>
      </c>
      <c r="D7" s="589"/>
      <c r="E7" s="616" t="s">
        <v>660</v>
      </c>
      <c r="F7" s="560"/>
      <c r="G7" s="560"/>
      <c r="H7" s="560"/>
      <c r="I7" s="560"/>
      <c r="J7" s="561"/>
      <c r="K7" s="588" t="s">
        <v>330</v>
      </c>
      <c r="L7" s="589"/>
    </row>
    <row r="8" spans="1:13" ht="16.5" customHeight="1" x14ac:dyDescent="0.25">
      <c r="A8" s="620"/>
      <c r="B8" s="623"/>
      <c r="C8" s="565"/>
      <c r="D8" s="590"/>
      <c r="E8" s="616" t="s">
        <v>334</v>
      </c>
      <c r="F8" s="561"/>
      <c r="G8" s="616" t="s">
        <v>335</v>
      </c>
      <c r="H8" s="561"/>
      <c r="I8" s="616" t="s">
        <v>336</v>
      </c>
      <c r="J8" s="561"/>
      <c r="K8" s="565"/>
      <c r="L8" s="590"/>
    </row>
    <row r="9" spans="1:13" ht="15" x14ac:dyDescent="0.25">
      <c r="A9" s="621"/>
      <c r="B9" s="624"/>
      <c r="C9" s="291" t="s">
        <v>337</v>
      </c>
      <c r="D9" s="292" t="s">
        <v>338</v>
      </c>
      <c r="E9" s="291" t="s">
        <v>337</v>
      </c>
      <c r="F9" s="292" t="s">
        <v>338</v>
      </c>
      <c r="G9" s="293" t="s">
        <v>337</v>
      </c>
      <c r="H9" s="292" t="s">
        <v>338</v>
      </c>
      <c r="I9" s="293" t="s">
        <v>337</v>
      </c>
      <c r="J9" s="292" t="s">
        <v>338</v>
      </c>
      <c r="K9" s="292" t="s">
        <v>339</v>
      </c>
      <c r="L9" s="292" t="s">
        <v>338</v>
      </c>
    </row>
    <row r="10" spans="1:13" ht="16.5" x14ac:dyDescent="0.3">
      <c r="A10" s="246"/>
      <c r="B10" s="246"/>
      <c r="C10" s="246"/>
      <c r="D10" s="260"/>
      <c r="E10" s="254"/>
      <c r="F10" s="259"/>
      <c r="G10" s="254"/>
      <c r="H10" s="260"/>
      <c r="I10" s="282"/>
      <c r="J10" s="260"/>
      <c r="K10" s="282"/>
      <c r="L10" s="260"/>
    </row>
    <row r="11" spans="1:13" ht="13.5" x14ac:dyDescent="0.25">
      <c r="A11" s="379"/>
      <c r="B11" s="379"/>
      <c r="C11" s="380">
        <v>16422535.399999999</v>
      </c>
      <c r="D11" s="381">
        <v>239940.48000000001</v>
      </c>
      <c r="E11" s="380">
        <f>+'Form G'!E9+'Form G'!E10+'Form G'!E11+'Form G'!E13+'Form G'!E14+'Form G'!E19</f>
        <v>414924416.56999999</v>
      </c>
      <c r="F11" s="380">
        <f>+'Form G'!E22</f>
        <v>1062462</v>
      </c>
      <c r="G11" s="422">
        <f>+C11+E11-K11</f>
        <v>428583683.06999999</v>
      </c>
      <c r="H11" s="413">
        <f>+D11+F11-L11</f>
        <v>891849</v>
      </c>
      <c r="I11" s="381">
        <f>+G11/(E11+C11)%</f>
        <v>99.359386014580622</v>
      </c>
      <c r="J11" s="381">
        <f>+H11/(F11+D11)%</f>
        <v>68.477219115860407</v>
      </c>
      <c r="K11" s="463">
        <v>2763268.9</v>
      </c>
      <c r="L11" s="381">
        <v>410553.48</v>
      </c>
      <c r="M11" s="8"/>
    </row>
    <row r="12" spans="1:13" ht="16.5" x14ac:dyDescent="0.3">
      <c r="A12" s="251"/>
      <c r="B12" s="251"/>
      <c r="C12" s="251"/>
      <c r="D12" s="261"/>
      <c r="E12" s="283"/>
      <c r="F12" s="261"/>
      <c r="G12" s="283"/>
      <c r="H12" s="261"/>
      <c r="I12" s="283"/>
      <c r="J12" s="261"/>
      <c r="K12" s="283"/>
      <c r="L12" s="261"/>
    </row>
    <row r="13" spans="1:13" ht="16.5" x14ac:dyDescent="0.3">
      <c r="A13" s="282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spans="1:13" ht="16.5" x14ac:dyDescent="0.3">
      <c r="A14" s="282"/>
      <c r="B14" s="282"/>
      <c r="C14" s="282"/>
      <c r="D14" s="282"/>
      <c r="E14" s="282"/>
      <c r="F14" s="290"/>
      <c r="G14" s="282"/>
      <c r="H14" s="282"/>
      <c r="I14" s="282"/>
      <c r="J14" s="282"/>
      <c r="K14" s="282"/>
      <c r="L14" s="282"/>
    </row>
    <row r="15" spans="1:13" ht="16.5" x14ac:dyDescent="0.3">
      <c r="A15" s="618" t="s">
        <v>661</v>
      </c>
      <c r="B15" s="618"/>
      <c r="C15" s="618"/>
      <c r="D15" s="618"/>
      <c r="E15" s="618"/>
      <c r="F15" s="618"/>
      <c r="G15" s="618"/>
      <c r="H15" s="618"/>
      <c r="I15" s="618"/>
      <c r="J15" s="618"/>
      <c r="K15" s="618"/>
      <c r="L15" s="618"/>
    </row>
    <row r="16" spans="1:13" ht="13.5" x14ac:dyDescent="0.25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15" x14ac:dyDescent="0.25">
      <c r="A17" s="619" t="s">
        <v>288</v>
      </c>
      <c r="B17" s="622" t="s">
        <v>555</v>
      </c>
      <c r="C17" s="588" t="s">
        <v>333</v>
      </c>
      <c r="D17" s="589"/>
      <c r="E17" s="616" t="s">
        <v>660</v>
      </c>
      <c r="F17" s="560"/>
      <c r="G17" s="560"/>
      <c r="H17" s="560"/>
      <c r="I17" s="560"/>
      <c r="J17" s="561"/>
      <c r="K17" s="588" t="s">
        <v>330</v>
      </c>
      <c r="L17" s="589"/>
    </row>
    <row r="18" spans="1:12" ht="15" x14ac:dyDescent="0.25">
      <c r="A18" s="620"/>
      <c r="B18" s="623"/>
      <c r="C18" s="565"/>
      <c r="D18" s="590"/>
      <c r="E18" s="616" t="s">
        <v>334</v>
      </c>
      <c r="F18" s="561"/>
      <c r="G18" s="616" t="s">
        <v>335</v>
      </c>
      <c r="H18" s="561"/>
      <c r="I18" s="616" t="s">
        <v>336</v>
      </c>
      <c r="J18" s="561"/>
      <c r="K18" s="565"/>
      <c r="L18" s="590"/>
    </row>
    <row r="19" spans="1:12" ht="15" x14ac:dyDescent="0.25">
      <c r="A19" s="621"/>
      <c r="B19" s="624"/>
      <c r="C19" s="291" t="s">
        <v>337</v>
      </c>
      <c r="D19" s="292" t="s">
        <v>338</v>
      </c>
      <c r="E19" s="291" t="s">
        <v>337</v>
      </c>
      <c r="F19" s="292" t="s">
        <v>338</v>
      </c>
      <c r="G19" s="293" t="s">
        <v>337</v>
      </c>
      <c r="H19" s="292" t="s">
        <v>338</v>
      </c>
      <c r="I19" s="293" t="s">
        <v>337</v>
      </c>
      <c r="J19" s="292" t="s">
        <v>338</v>
      </c>
      <c r="K19" s="292" t="s">
        <v>339</v>
      </c>
      <c r="L19" s="292" t="s">
        <v>338</v>
      </c>
    </row>
    <row r="20" spans="1:12" ht="16.5" x14ac:dyDescent="0.3">
      <c r="A20" s="246"/>
      <c r="B20" s="246"/>
      <c r="C20" s="246"/>
      <c r="D20" s="260"/>
      <c r="E20" s="254"/>
      <c r="F20" s="259"/>
      <c r="G20" s="254"/>
      <c r="H20" s="260"/>
      <c r="I20" s="282"/>
      <c r="J20" s="260"/>
      <c r="K20" s="282"/>
      <c r="L20" s="260"/>
    </row>
    <row r="21" spans="1:12" s="382" customFormat="1" ht="13.5" x14ac:dyDescent="0.25">
      <c r="A21" s="379"/>
      <c r="B21" s="379"/>
      <c r="C21" s="380">
        <v>18837000</v>
      </c>
      <c r="D21" s="380">
        <v>150000</v>
      </c>
      <c r="E21" s="380">
        <v>482087000</v>
      </c>
      <c r="F21" s="417">
        <v>500000</v>
      </c>
      <c r="G21" s="422">
        <f>+C21+E21-K21</f>
        <v>481607000</v>
      </c>
      <c r="H21" s="494">
        <v>550000</v>
      </c>
      <c r="I21" s="380">
        <v>99.900432909412615</v>
      </c>
      <c r="J21" s="380">
        <v>110</v>
      </c>
      <c r="K21" s="380">
        <v>19317000</v>
      </c>
      <c r="L21" s="381">
        <v>100000</v>
      </c>
    </row>
    <row r="22" spans="1:12" ht="16.5" x14ac:dyDescent="0.3">
      <c r="A22" s="251"/>
      <c r="B22" s="251"/>
      <c r="C22" s="251"/>
      <c r="D22" s="261"/>
      <c r="E22" s="283"/>
      <c r="F22" s="261"/>
      <c r="G22" s="283"/>
      <c r="H22" s="261"/>
      <c r="I22" s="283"/>
      <c r="J22" s="261"/>
      <c r="K22" s="283"/>
      <c r="L22" s="261"/>
    </row>
    <row r="23" spans="1:12" ht="13.5" x14ac:dyDescent="0.25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13.5" x14ac:dyDescent="0.25">
      <c r="A24" s="255" t="s">
        <v>649</v>
      </c>
      <c r="B24" s="255"/>
      <c r="C24" s="414"/>
      <c r="D24" s="287"/>
      <c r="E24" s="255"/>
      <c r="F24" s="255"/>
      <c r="G24" s="255"/>
      <c r="H24" s="255"/>
      <c r="I24" s="255"/>
      <c r="J24" s="255"/>
      <c r="K24" s="255"/>
      <c r="L24" s="255"/>
    </row>
    <row r="25" spans="1:12" ht="13.5" x14ac:dyDescent="0.25">
      <c r="A25" s="255"/>
      <c r="B25" s="255"/>
      <c r="C25" s="414"/>
      <c r="D25" s="287"/>
      <c r="E25" s="255"/>
      <c r="F25" s="414"/>
      <c r="G25" s="255"/>
      <c r="H25" s="255"/>
      <c r="I25" s="255"/>
      <c r="J25" s="255"/>
      <c r="K25" s="255"/>
      <c r="L25" s="255"/>
    </row>
    <row r="26" spans="1:12" ht="13.5" x14ac:dyDescent="0.25">
      <c r="A26" s="617"/>
      <c r="B26" s="617"/>
      <c r="C26" s="617"/>
      <c r="D26" s="287"/>
      <c r="E26" s="255"/>
      <c r="F26" s="287"/>
      <c r="G26" s="255"/>
      <c r="H26" s="255"/>
      <c r="I26" s="255"/>
      <c r="J26" s="255"/>
      <c r="K26" s="255"/>
      <c r="L26" s="255"/>
    </row>
    <row r="27" spans="1:12" ht="13.5" x14ac:dyDescent="0.25">
      <c r="A27" s="617"/>
      <c r="B27" s="617"/>
      <c r="C27" s="617"/>
      <c r="D27" s="287"/>
      <c r="E27" s="255"/>
      <c r="F27" s="287"/>
      <c r="G27" s="255"/>
      <c r="H27" s="255"/>
      <c r="I27" s="255"/>
      <c r="J27" s="255"/>
      <c r="K27" s="255"/>
      <c r="L27" s="255"/>
    </row>
    <row r="28" spans="1:12" ht="13.5" x14ac:dyDescent="0.25">
      <c r="A28" s="617"/>
      <c r="B28" s="617"/>
      <c r="C28" s="617"/>
      <c r="D28" s="287"/>
      <c r="E28" s="255"/>
      <c r="F28" s="255"/>
      <c r="G28" s="255"/>
      <c r="H28" s="255"/>
      <c r="I28" s="255"/>
      <c r="J28" s="255"/>
      <c r="K28" s="255"/>
      <c r="L28" s="255"/>
    </row>
    <row r="29" spans="1:12" ht="15" x14ac:dyDescent="0.25">
      <c r="A29" s="350" t="s">
        <v>678</v>
      </c>
      <c r="B29" s="34"/>
      <c r="C29" s="34"/>
      <c r="E29" s="255"/>
      <c r="F29" s="255"/>
      <c r="G29" s="288"/>
      <c r="H29" s="255"/>
      <c r="I29" s="255"/>
      <c r="J29" s="353"/>
      <c r="K29" s="255"/>
      <c r="L29" s="351" t="s">
        <v>606</v>
      </c>
    </row>
    <row r="30" spans="1:12" ht="15" x14ac:dyDescent="0.25">
      <c r="A30" s="114" t="s">
        <v>679</v>
      </c>
      <c r="B30" s="34"/>
      <c r="C30" s="34"/>
      <c r="E30" s="255"/>
      <c r="F30" s="255"/>
      <c r="G30" s="255"/>
      <c r="H30" s="255"/>
      <c r="I30" s="255"/>
      <c r="J30" s="354"/>
      <c r="K30" s="255"/>
      <c r="L30" s="352" t="s">
        <v>604</v>
      </c>
    </row>
    <row r="31" spans="1:12" ht="13.5" x14ac:dyDescent="0.25">
      <c r="A31" s="617"/>
      <c r="B31" s="617"/>
      <c r="C31" s="617"/>
      <c r="D31" s="287"/>
      <c r="E31" s="255"/>
      <c r="F31" s="255"/>
      <c r="G31" s="255"/>
      <c r="H31" s="255"/>
      <c r="I31" s="255"/>
      <c r="J31" s="255"/>
      <c r="K31" s="255"/>
      <c r="L31" s="255"/>
    </row>
    <row r="32" spans="1:12" ht="13.5" x14ac:dyDescent="0.25">
      <c r="A32" s="471"/>
      <c r="B32" s="471"/>
      <c r="C32" s="471"/>
      <c r="D32" s="287"/>
      <c r="E32" s="255"/>
      <c r="F32" s="255"/>
      <c r="G32" s="255"/>
      <c r="H32" s="255"/>
      <c r="I32" s="255"/>
      <c r="J32" s="255"/>
      <c r="K32" s="255"/>
      <c r="L32" s="255"/>
    </row>
    <row r="33" spans="1:12" ht="13.5" x14ac:dyDescent="0.25">
      <c r="A33" s="471"/>
      <c r="B33" s="471"/>
      <c r="C33" s="471"/>
      <c r="D33" s="287"/>
      <c r="E33" s="255"/>
      <c r="F33" s="255"/>
      <c r="G33" s="255"/>
      <c r="H33" s="255"/>
      <c r="I33" s="255"/>
      <c r="J33" s="255"/>
      <c r="K33" s="255"/>
      <c r="L33" s="255"/>
    </row>
    <row r="34" spans="1:12" ht="15" x14ac:dyDescent="0.25">
      <c r="A34" s="350" t="s">
        <v>650</v>
      </c>
      <c r="B34" s="471"/>
      <c r="C34" s="471"/>
      <c r="D34" s="287"/>
      <c r="E34" s="255"/>
      <c r="F34" s="255"/>
      <c r="G34" s="255"/>
      <c r="H34" s="255"/>
      <c r="I34" s="255"/>
      <c r="J34" s="255"/>
      <c r="K34" s="255"/>
      <c r="L34"/>
    </row>
    <row r="35" spans="1:12" ht="15" x14ac:dyDescent="0.25">
      <c r="A35" s="114" t="s">
        <v>480</v>
      </c>
      <c r="B35" s="471"/>
      <c r="C35" s="471"/>
      <c r="D35" s="287"/>
      <c r="E35" s="255"/>
      <c r="F35" s="255"/>
      <c r="G35" s="255"/>
      <c r="H35" s="255"/>
      <c r="I35" s="255"/>
      <c r="J35" s="255"/>
      <c r="K35" s="255"/>
      <c r="L35" s="449" t="s">
        <v>605</v>
      </c>
    </row>
    <row r="36" spans="1:12" ht="16.5" x14ac:dyDescent="0.3">
      <c r="A36" s="617"/>
      <c r="B36" s="617"/>
      <c r="C36" s="617"/>
      <c r="D36" s="287"/>
      <c r="E36" s="255"/>
      <c r="F36" s="255"/>
      <c r="G36" s="255"/>
      <c r="H36" s="255"/>
      <c r="I36" s="255"/>
      <c r="J36" s="255"/>
      <c r="K36" s="63"/>
      <c r="L36" s="449"/>
    </row>
    <row r="37" spans="1:12" ht="15" x14ac:dyDescent="0.25">
      <c r="K37" s="1"/>
      <c r="L37" s="449"/>
    </row>
    <row r="38" spans="1:12" ht="15.75" x14ac:dyDescent="0.3">
      <c r="A38" s="34" t="s">
        <v>410</v>
      </c>
      <c r="K38" s="1"/>
      <c r="L38" s="450"/>
    </row>
    <row r="39" spans="1:12" ht="15" x14ac:dyDescent="0.3">
      <c r="A39" s="255" t="s">
        <v>677</v>
      </c>
      <c r="L39" s="450"/>
    </row>
  </sheetData>
  <mergeCells count="25">
    <mergeCell ref="A1:L1"/>
    <mergeCell ref="A3:L3"/>
    <mergeCell ref="A15:L15"/>
    <mergeCell ref="E17:J17"/>
    <mergeCell ref="A17:A19"/>
    <mergeCell ref="B17:B19"/>
    <mergeCell ref="A5:L5"/>
    <mergeCell ref="A7:A9"/>
    <mergeCell ref="B7:B9"/>
    <mergeCell ref="K7:L8"/>
    <mergeCell ref="E8:F8"/>
    <mergeCell ref="K17:L18"/>
    <mergeCell ref="C17:D18"/>
    <mergeCell ref="E18:F18"/>
    <mergeCell ref="G18:H18"/>
    <mergeCell ref="I18:J18"/>
    <mergeCell ref="C7:D8"/>
    <mergeCell ref="E7:J7"/>
    <mergeCell ref="G8:H8"/>
    <mergeCell ref="I8:J8"/>
    <mergeCell ref="A36:C36"/>
    <mergeCell ref="A26:C26"/>
    <mergeCell ref="A27:C27"/>
    <mergeCell ref="A28:C28"/>
    <mergeCell ref="A31:C31"/>
  </mergeCells>
  <phoneticPr fontId="9" type="noConversion"/>
  <pageMargins left="1.2" right="0.23" top="0.46" bottom="0.64" header="0.5" footer="0.5"/>
  <pageSetup scale="84" orientation="landscape" horizontalDpi="4294967292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22" zoomScale="70" zoomScaleNormal="75" zoomScaleSheetLayoutView="70" workbookViewId="0">
      <selection activeCell="M41" sqref="M41"/>
    </sheetView>
  </sheetViews>
  <sheetFormatPr defaultColWidth="8" defaultRowHeight="12.75" x14ac:dyDescent="0.2"/>
  <cols>
    <col min="1" max="1" width="6.5" style="7" customWidth="1"/>
    <col min="2" max="2" width="8.75" style="7" customWidth="1"/>
    <col min="3" max="3" width="19.125" style="7" customWidth="1"/>
    <col min="4" max="4" width="15.5" style="7" customWidth="1"/>
    <col min="5" max="5" width="13.25" style="7" customWidth="1"/>
    <col min="6" max="6" width="13.875" style="7" customWidth="1"/>
    <col min="7" max="7" width="9.25" style="7" customWidth="1"/>
    <col min="8" max="8" width="16.125" style="7" customWidth="1"/>
    <col min="9" max="9" width="10.75" style="7" customWidth="1"/>
    <col min="10" max="10" width="12.375" style="7" customWidth="1"/>
    <col min="11" max="11" width="13.625" style="7" customWidth="1"/>
    <col min="12" max="12" width="12.375" style="7" customWidth="1"/>
    <col min="13" max="13" width="15.125" style="7" customWidth="1"/>
    <col min="14" max="14" width="12.375" style="7" customWidth="1"/>
    <col min="15" max="15" width="10.5" style="7" customWidth="1"/>
    <col min="16" max="16" width="12.25" style="7" customWidth="1"/>
    <col min="17" max="17" width="16.375" style="7" customWidth="1"/>
    <col min="18" max="18" width="14.125" style="7" bestFit="1" customWidth="1"/>
    <col min="19" max="16384" width="8" style="7"/>
  </cols>
  <sheetData>
    <row r="1" spans="1:18" ht="18.75" x14ac:dyDescent="0.3">
      <c r="A1" s="634" t="s">
        <v>340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</row>
    <row r="2" spans="1:18" ht="18.75" x14ac:dyDescent="0.3">
      <c r="A2" s="634" t="s">
        <v>341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</row>
    <row r="3" spans="1:18" ht="18.75" x14ac:dyDescent="0.3">
      <c r="A3" s="634" t="s">
        <v>584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</row>
    <row r="4" spans="1:18" ht="18.75" x14ac:dyDescent="0.3">
      <c r="A4" s="634" t="s">
        <v>655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4"/>
      <c r="Q4" s="634"/>
    </row>
    <row r="5" spans="1:18" ht="12.75" customHeight="1" x14ac:dyDescent="0.2">
      <c r="A5" s="591" t="s">
        <v>79</v>
      </c>
      <c r="B5" s="619" t="s">
        <v>342</v>
      </c>
      <c r="C5" s="591" t="s">
        <v>3</v>
      </c>
      <c r="D5" s="600" t="s">
        <v>343</v>
      </c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</row>
    <row r="6" spans="1:18" ht="12.75" customHeight="1" x14ac:dyDescent="0.2">
      <c r="A6" s="601"/>
      <c r="B6" s="635"/>
      <c r="C6" s="601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</row>
    <row r="7" spans="1:18" ht="21.75" customHeight="1" x14ac:dyDescent="0.25">
      <c r="A7" s="592"/>
      <c r="B7" s="636"/>
      <c r="C7" s="592"/>
      <c r="D7" s="600" t="s">
        <v>377</v>
      </c>
      <c r="E7" s="600"/>
      <c r="F7" s="600"/>
      <c r="G7" s="560" t="s">
        <v>622</v>
      </c>
      <c r="H7" s="560"/>
      <c r="I7" s="560"/>
      <c r="J7" s="560"/>
      <c r="K7" s="560"/>
      <c r="L7" s="560"/>
      <c r="M7" s="560"/>
      <c r="N7" s="560"/>
      <c r="O7" s="560"/>
      <c r="P7" s="560"/>
      <c r="Q7" s="560"/>
    </row>
    <row r="8" spans="1:18" ht="90" customHeight="1" x14ac:dyDescent="0.3">
      <c r="A8" s="294"/>
      <c r="B8" s="295"/>
      <c r="C8" s="296"/>
      <c r="D8" s="472" t="s">
        <v>635</v>
      </c>
      <c r="E8" s="472" t="s">
        <v>636</v>
      </c>
      <c r="F8" s="472" t="s">
        <v>637</v>
      </c>
      <c r="G8" s="472" t="s">
        <v>638</v>
      </c>
      <c r="H8" s="472" t="s">
        <v>639</v>
      </c>
      <c r="I8" s="472" t="s">
        <v>640</v>
      </c>
      <c r="J8" s="472" t="s">
        <v>641</v>
      </c>
      <c r="K8" s="472" t="s">
        <v>642</v>
      </c>
      <c r="L8" s="472" t="s">
        <v>643</v>
      </c>
      <c r="M8" s="472" t="s">
        <v>644</v>
      </c>
      <c r="N8" s="472" t="s">
        <v>645</v>
      </c>
      <c r="O8" s="472" t="s">
        <v>646</v>
      </c>
      <c r="P8" s="472" t="s">
        <v>647</v>
      </c>
      <c r="Q8" s="472" t="s">
        <v>38</v>
      </c>
    </row>
    <row r="9" spans="1:18" ht="16.5" x14ac:dyDescent="0.3">
      <c r="A9" s="474">
        <v>1</v>
      </c>
      <c r="B9" s="475"/>
      <c r="C9" s="473" t="s">
        <v>344</v>
      </c>
      <c r="D9" s="473"/>
      <c r="E9" s="476"/>
      <c r="F9" s="473"/>
      <c r="G9" s="473"/>
      <c r="H9" s="473"/>
      <c r="I9" s="473"/>
      <c r="J9" s="473"/>
      <c r="K9" s="477"/>
      <c r="L9" s="477"/>
      <c r="M9" s="477"/>
      <c r="N9" s="477"/>
      <c r="O9" s="477"/>
      <c r="P9" s="477"/>
      <c r="Q9" s="477"/>
    </row>
    <row r="10" spans="1:18" ht="16.5" x14ac:dyDescent="0.3">
      <c r="A10" s="474">
        <v>2</v>
      </c>
      <c r="B10" s="475"/>
      <c r="C10" s="473" t="s">
        <v>379</v>
      </c>
      <c r="D10" s="478"/>
      <c r="E10" s="478"/>
      <c r="F10" s="478"/>
      <c r="G10" s="478"/>
      <c r="H10" s="478"/>
      <c r="I10" s="478"/>
      <c r="J10" s="478"/>
      <c r="K10" s="477"/>
      <c r="L10" s="477"/>
      <c r="M10" s="477"/>
      <c r="N10" s="477"/>
      <c r="O10" s="477"/>
      <c r="P10" s="477"/>
      <c r="Q10" s="477"/>
    </row>
    <row r="11" spans="1:18" ht="16.5" x14ac:dyDescent="0.3">
      <c r="A11" s="474">
        <v>3</v>
      </c>
      <c r="B11" s="475"/>
      <c r="C11" s="473" t="s">
        <v>380</v>
      </c>
      <c r="D11" s="478"/>
      <c r="E11" s="478"/>
      <c r="F11" s="478"/>
      <c r="G11" s="478"/>
      <c r="H11" s="478"/>
      <c r="I11" s="478"/>
      <c r="J11" s="478"/>
      <c r="K11" s="477"/>
      <c r="L11" s="477"/>
      <c r="M11" s="477"/>
      <c r="N11" s="477"/>
      <c r="O11" s="477"/>
      <c r="P11" s="477"/>
      <c r="Q11" s="477"/>
    </row>
    <row r="12" spans="1:18" ht="16.5" x14ac:dyDescent="0.3">
      <c r="A12" s="474"/>
      <c r="B12" s="475"/>
      <c r="C12" s="473" t="s">
        <v>345</v>
      </c>
      <c r="D12" s="473"/>
      <c r="E12" s="473"/>
      <c r="F12" s="473"/>
      <c r="G12" s="473"/>
      <c r="H12" s="473"/>
      <c r="I12" s="473"/>
      <c r="J12" s="473"/>
      <c r="K12" s="477"/>
      <c r="L12" s="477"/>
      <c r="M12" s="477"/>
      <c r="N12" s="477"/>
      <c r="O12" s="477"/>
      <c r="P12" s="477"/>
      <c r="Q12" s="477"/>
    </row>
    <row r="13" spans="1:18" ht="16.5" x14ac:dyDescent="0.3">
      <c r="A13" s="475"/>
      <c r="B13" s="475"/>
      <c r="C13" s="473" t="s">
        <v>346</v>
      </c>
      <c r="D13" s="479"/>
      <c r="E13" s="473"/>
      <c r="F13" s="473"/>
      <c r="G13" s="473"/>
      <c r="H13" s="473"/>
      <c r="I13" s="473"/>
      <c r="J13" s="473"/>
      <c r="K13" s="477"/>
      <c r="L13" s="477"/>
      <c r="M13" s="477"/>
      <c r="N13" s="477"/>
      <c r="O13" s="477"/>
      <c r="P13" s="477"/>
      <c r="Q13" s="477"/>
    </row>
    <row r="14" spans="1:18" ht="16.5" x14ac:dyDescent="0.3">
      <c r="A14" s="475"/>
      <c r="B14" s="475"/>
      <c r="C14" s="473" t="s">
        <v>347</v>
      </c>
      <c r="D14" s="489">
        <v>6948010</v>
      </c>
      <c r="E14" s="489">
        <v>0</v>
      </c>
      <c r="F14" s="489">
        <v>556869</v>
      </c>
      <c r="G14" s="489">
        <v>0</v>
      </c>
      <c r="H14" s="489">
        <f>1509368.4+6724117.65</f>
        <v>8233486.0500000007</v>
      </c>
      <c r="I14" s="489">
        <v>0</v>
      </c>
      <c r="J14" s="489">
        <v>18081</v>
      </c>
      <c r="K14" s="489">
        <v>133077</v>
      </c>
      <c r="L14" s="489">
        <v>62183</v>
      </c>
      <c r="M14" s="489">
        <v>1927256.5</v>
      </c>
      <c r="N14" s="489">
        <v>8869</v>
      </c>
      <c r="O14" s="489">
        <v>0</v>
      </c>
      <c r="P14" s="489">
        <v>0</v>
      </c>
      <c r="Q14" s="489">
        <f>SUM(D14:P14)</f>
        <v>17887831.550000001</v>
      </c>
    </row>
    <row r="15" spans="1:18" ht="16.5" x14ac:dyDescent="0.3">
      <c r="A15" s="475"/>
      <c r="B15" s="475"/>
      <c r="C15" s="473" t="s">
        <v>334</v>
      </c>
      <c r="D15" s="489">
        <f>98860917.23+23904981.51+1264830+1106708.9+847651</f>
        <v>125985088.64000002</v>
      </c>
      <c r="E15" s="489">
        <f>1442517.4275+11730.2+13341.4</f>
        <v>1467589.0274999999</v>
      </c>
      <c r="F15" s="489">
        <f>6742611.4299+122860.8+110916</f>
        <v>6976388.2298999997</v>
      </c>
      <c r="G15" s="489">
        <v>0</v>
      </c>
      <c r="H15" s="489">
        <f>220066445.29755+128271+775784.65+6566980.64-890775+18864665+2548961.49+531792.96+3412111-30128.75</f>
        <v>251974108.28755</v>
      </c>
      <c r="I15" s="489">
        <f>9136.08+30414+25379</f>
        <v>64929.08</v>
      </c>
      <c r="J15" s="489">
        <f>750290.315+2014+2539.5</f>
        <v>754843.81499999994</v>
      </c>
      <c r="K15" s="489">
        <v>2234695.73</v>
      </c>
      <c r="L15" s="489">
        <f>884730.4727+61863.05+12284+13586.1</f>
        <v>972463.62270000007</v>
      </c>
      <c r="M15" s="489">
        <f>21299004.04+984048.58+327122+254729.71+'[5]Apr''13'!$M$606+'[5]Apr''13'!$AJ$605</f>
        <v>23409549.029999997</v>
      </c>
      <c r="N15" s="489">
        <f>110698.608+3466+2326</f>
        <v>116490.60799999999</v>
      </c>
      <c r="O15" s="489">
        <v>67428.700000000012</v>
      </c>
      <c r="P15" s="489">
        <v>900841.79999999993</v>
      </c>
      <c r="Q15" s="489">
        <f>SUM(D15:P15)</f>
        <v>414924416.57064992</v>
      </c>
      <c r="R15" s="482">
        <f>+Q15-'Form Y'!E11</f>
        <v>6.4992904663085938E-4</v>
      </c>
    </row>
    <row r="16" spans="1:18" ht="16.5" x14ac:dyDescent="0.3">
      <c r="A16" s="475"/>
      <c r="B16" s="475"/>
      <c r="C16" s="473" t="s">
        <v>335</v>
      </c>
      <c r="D16" s="489">
        <f t="shared" ref="D16:P16" si="0">+D14+D15-D17</f>
        <v>126454745.64000002</v>
      </c>
      <c r="E16" s="489">
        <f t="shared" si="0"/>
        <v>1467589.0274999999</v>
      </c>
      <c r="F16" s="489">
        <f t="shared" si="0"/>
        <v>6378477.2298999997</v>
      </c>
      <c r="G16" s="489">
        <f t="shared" si="0"/>
        <v>0</v>
      </c>
      <c r="H16" s="489">
        <f t="shared" si="0"/>
        <v>250797029.93755001</v>
      </c>
      <c r="I16" s="489">
        <f t="shared" si="0"/>
        <v>63518.080000000002</v>
      </c>
      <c r="J16" s="489">
        <f t="shared" si="0"/>
        <v>772924.81499999994</v>
      </c>
      <c r="K16" s="489">
        <f t="shared" si="0"/>
        <v>2246344.73</v>
      </c>
      <c r="L16" s="489">
        <f t="shared" si="0"/>
        <v>951707.62270000007</v>
      </c>
      <c r="M16" s="489">
        <f t="shared" si="0"/>
        <v>23811547.029999997</v>
      </c>
      <c r="N16" s="489">
        <f t="shared" si="0"/>
        <v>116533.60799999999</v>
      </c>
      <c r="O16" s="489">
        <f t="shared" si="0"/>
        <v>43811.700000000012</v>
      </c>
      <c r="P16" s="489">
        <f t="shared" si="0"/>
        <v>900841.79999999993</v>
      </c>
      <c r="Q16" s="489">
        <f>SUM(D16:P16)</f>
        <v>414005071.22064996</v>
      </c>
    </row>
    <row r="17" spans="1:17" ht="16.5" x14ac:dyDescent="0.3">
      <c r="A17" s="475"/>
      <c r="B17" s="475"/>
      <c r="C17" s="473" t="s">
        <v>348</v>
      </c>
      <c r="D17" s="489">
        <v>6478353</v>
      </c>
      <c r="E17" s="489">
        <v>0</v>
      </c>
      <c r="F17" s="489">
        <v>1154780</v>
      </c>
      <c r="G17" s="489">
        <v>0</v>
      </c>
      <c r="H17" s="489">
        <v>9410564.4000000004</v>
      </c>
      <c r="I17" s="489">
        <v>1411</v>
      </c>
      <c r="J17" s="489">
        <v>0</v>
      </c>
      <c r="K17" s="489">
        <v>121428</v>
      </c>
      <c r="L17" s="489">
        <v>82939</v>
      </c>
      <c r="M17" s="489">
        <v>1525258.5</v>
      </c>
      <c r="N17" s="489">
        <v>8826</v>
      </c>
      <c r="O17" s="489">
        <v>23617</v>
      </c>
      <c r="P17" s="489">
        <v>0</v>
      </c>
      <c r="Q17" s="489">
        <f>SUM(D17:P17)</f>
        <v>18807176.899999999</v>
      </c>
    </row>
    <row r="18" spans="1:17" ht="16.5" x14ac:dyDescent="0.3">
      <c r="A18" s="282"/>
      <c r="B18" s="282"/>
      <c r="C18" s="282"/>
      <c r="D18" s="282"/>
      <c r="E18" s="282"/>
      <c r="F18" s="282"/>
      <c r="G18" s="282"/>
      <c r="H18" s="282"/>
      <c r="I18" s="282"/>
      <c r="J18" s="282"/>
    </row>
    <row r="19" spans="1:17" ht="15" x14ac:dyDescent="0.25">
      <c r="A19" s="631" t="s">
        <v>658</v>
      </c>
      <c r="B19" s="631"/>
      <c r="C19" s="631"/>
      <c r="D19" s="631"/>
      <c r="E19" s="631"/>
      <c r="F19" s="631"/>
      <c r="G19" s="631"/>
      <c r="H19" s="631"/>
      <c r="I19" s="631"/>
      <c r="J19" s="631"/>
    </row>
    <row r="20" spans="1:17" ht="13.5" customHeight="1" x14ac:dyDescent="0.2">
      <c r="A20" s="564" t="s">
        <v>79</v>
      </c>
      <c r="B20" s="485"/>
      <c r="C20" s="625" t="s">
        <v>3</v>
      </c>
      <c r="D20" s="637" t="s">
        <v>343</v>
      </c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9"/>
      <c r="Q20" s="625" t="s">
        <v>38</v>
      </c>
    </row>
    <row r="21" spans="1:17" ht="10.5" customHeight="1" x14ac:dyDescent="0.2">
      <c r="A21" s="632"/>
      <c r="B21" s="503"/>
      <c r="C21" s="626"/>
      <c r="D21" s="640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2"/>
      <c r="Q21" s="626"/>
    </row>
    <row r="22" spans="1:17" ht="21.75" customHeight="1" x14ac:dyDescent="0.2">
      <c r="A22" s="632"/>
      <c r="B22" s="503"/>
      <c r="C22" s="626"/>
      <c r="D22" s="628" t="s">
        <v>77</v>
      </c>
      <c r="E22" s="629"/>
      <c r="F22" s="630"/>
      <c r="G22" s="628" t="s">
        <v>378</v>
      </c>
      <c r="H22" s="629"/>
      <c r="I22" s="629"/>
      <c r="J22" s="629"/>
      <c r="K22" s="629"/>
      <c r="L22" s="629"/>
      <c r="M22" s="629"/>
      <c r="N22" s="629"/>
      <c r="O22" s="629"/>
      <c r="P22" s="630"/>
      <c r="Q22" s="626"/>
    </row>
    <row r="23" spans="1:17" ht="30.75" x14ac:dyDescent="0.3">
      <c r="A23" s="633"/>
      <c r="B23" s="504"/>
      <c r="C23" s="627"/>
      <c r="D23" s="487" t="s">
        <v>635</v>
      </c>
      <c r="E23" s="364" t="s">
        <v>664</v>
      </c>
      <c r="F23" s="364" t="s">
        <v>665</v>
      </c>
      <c r="G23" s="487" t="s">
        <v>666</v>
      </c>
      <c r="H23" s="487" t="s">
        <v>667</v>
      </c>
      <c r="I23" s="495" t="s">
        <v>668</v>
      </c>
      <c r="J23" s="487" t="s">
        <v>669</v>
      </c>
      <c r="K23" s="488" t="s">
        <v>670</v>
      </c>
      <c r="L23" s="495" t="s">
        <v>671</v>
      </c>
      <c r="M23" s="495" t="s">
        <v>672</v>
      </c>
      <c r="N23" s="495" t="s">
        <v>673</v>
      </c>
      <c r="O23" s="486" t="s">
        <v>674</v>
      </c>
      <c r="P23" s="495" t="s">
        <v>675</v>
      </c>
      <c r="Q23" s="627"/>
    </row>
    <row r="24" spans="1:17" ht="16.5" x14ac:dyDescent="0.3">
      <c r="A24" s="474">
        <v>1</v>
      </c>
      <c r="B24" s="474"/>
      <c r="C24" s="496" t="s">
        <v>344</v>
      </c>
      <c r="D24" s="496">
        <v>16</v>
      </c>
      <c r="E24" s="497">
        <v>1</v>
      </c>
      <c r="F24" s="497">
        <v>1</v>
      </c>
      <c r="G24" s="496">
        <v>98</v>
      </c>
      <c r="H24" s="496">
        <v>100</v>
      </c>
      <c r="I24" s="496">
        <v>67</v>
      </c>
      <c r="J24" s="496">
        <v>4</v>
      </c>
      <c r="K24" s="496">
        <v>16</v>
      </c>
      <c r="L24" s="496">
        <v>44</v>
      </c>
      <c r="M24" s="496">
        <v>80</v>
      </c>
      <c r="N24" s="496">
        <v>17</v>
      </c>
      <c r="O24" s="496">
        <v>4</v>
      </c>
      <c r="P24" s="496">
        <v>10</v>
      </c>
      <c r="Q24" s="496">
        <f>SUM(D24:P24)</f>
        <v>458</v>
      </c>
    </row>
    <row r="25" spans="1:17" ht="16.5" x14ac:dyDescent="0.3">
      <c r="A25" s="474">
        <v>2</v>
      </c>
      <c r="B25" s="474"/>
      <c r="C25" s="496" t="s">
        <v>379</v>
      </c>
      <c r="D25" s="498">
        <v>25696748.399999999</v>
      </c>
      <c r="E25" s="498">
        <v>128556</v>
      </c>
      <c r="F25" s="498">
        <v>646080</v>
      </c>
      <c r="G25" s="498">
        <v>41309040</v>
      </c>
      <c r="H25" s="498">
        <v>5405543.9999999991</v>
      </c>
      <c r="I25" s="498">
        <v>2147256</v>
      </c>
      <c r="J25" s="498">
        <v>9276</v>
      </c>
      <c r="K25" s="498">
        <v>202080</v>
      </c>
      <c r="L25" s="498">
        <v>187005.84</v>
      </c>
      <c r="M25" s="498">
        <v>2052991.23</v>
      </c>
      <c r="N25" s="498">
        <v>22596</v>
      </c>
      <c r="O25" s="498">
        <v>532560</v>
      </c>
      <c r="P25" s="498">
        <v>303360</v>
      </c>
      <c r="Q25" s="498">
        <f>SUM(D25:P25)</f>
        <v>78643093.470000014</v>
      </c>
    </row>
    <row r="26" spans="1:17" ht="33" x14ac:dyDescent="0.3">
      <c r="A26" s="499">
        <v>3</v>
      </c>
      <c r="B26" s="499"/>
      <c r="C26" s="500" t="s">
        <v>676</v>
      </c>
      <c r="D26" s="501">
        <v>4.0999999999999996</v>
      </c>
      <c r="E26" s="501">
        <v>4.0999999999999996</v>
      </c>
      <c r="F26" s="501">
        <v>5.5</v>
      </c>
      <c r="G26" s="501">
        <v>4.25</v>
      </c>
      <c r="H26" s="501">
        <v>4.25</v>
      </c>
      <c r="I26" s="501">
        <v>4.25</v>
      </c>
      <c r="J26" s="501">
        <v>5.5</v>
      </c>
      <c r="K26" s="501">
        <v>7</v>
      </c>
      <c r="L26" s="501">
        <v>5.45</v>
      </c>
      <c r="M26" s="501">
        <v>5.45</v>
      </c>
      <c r="N26" s="501">
        <v>4</v>
      </c>
      <c r="O26" s="501">
        <v>4.25</v>
      </c>
      <c r="P26" s="501">
        <v>2.75</v>
      </c>
      <c r="Q26" s="502"/>
    </row>
    <row r="27" spans="1:17" ht="16.5" x14ac:dyDescent="0.3">
      <c r="A27" s="474">
        <v>4</v>
      </c>
      <c r="B27" s="474"/>
      <c r="C27" s="496" t="s">
        <v>347</v>
      </c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</row>
    <row r="28" spans="1:17" ht="16.5" x14ac:dyDescent="0.3">
      <c r="A28" s="474">
        <v>5</v>
      </c>
      <c r="B28" s="474"/>
      <c r="C28" s="496" t="s">
        <v>334</v>
      </c>
      <c r="D28" s="501"/>
      <c r="E28" s="501"/>
      <c r="F28" s="501"/>
      <c r="G28" s="501"/>
      <c r="H28" s="496"/>
      <c r="I28" s="496"/>
      <c r="J28" s="496"/>
      <c r="K28" s="496"/>
      <c r="L28" s="496"/>
      <c r="M28" s="496"/>
      <c r="N28" s="496"/>
      <c r="O28" s="496"/>
      <c r="P28" s="496"/>
      <c r="Q28" s="496"/>
    </row>
    <row r="29" spans="1:17" ht="16.5" x14ac:dyDescent="0.3">
      <c r="A29" s="474">
        <v>6</v>
      </c>
      <c r="B29" s="474"/>
      <c r="C29" s="496" t="s">
        <v>335</v>
      </c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</row>
    <row r="30" spans="1:17" ht="16.5" x14ac:dyDescent="0.3">
      <c r="A30" s="474">
        <v>7</v>
      </c>
      <c r="B30" s="474"/>
      <c r="C30" s="496" t="s">
        <v>348</v>
      </c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</row>
    <row r="31" spans="1:17" ht="16.5" x14ac:dyDescent="0.3">
      <c r="A31" s="254"/>
      <c r="B31" s="297"/>
      <c r="C31" s="254"/>
      <c r="D31" s="297"/>
      <c r="E31" s="297"/>
      <c r="F31" s="255"/>
      <c r="G31" s="254"/>
      <c r="H31" s="254"/>
      <c r="I31" s="254"/>
      <c r="J31" s="254"/>
    </row>
    <row r="32" spans="1:17" ht="16.5" x14ac:dyDescent="0.3">
      <c r="A32" s="254" t="s">
        <v>648</v>
      </c>
      <c r="B32" s="254"/>
      <c r="C32" s="254"/>
      <c r="D32" s="254"/>
      <c r="E32" s="297"/>
      <c r="F32" s="255"/>
      <c r="G32" s="254"/>
      <c r="H32" s="254"/>
      <c r="I32" s="254"/>
      <c r="J32" s="254"/>
    </row>
    <row r="33" spans="1:10" ht="16.5" x14ac:dyDescent="0.3">
      <c r="A33" s="254"/>
      <c r="B33" s="297"/>
      <c r="C33" s="254"/>
      <c r="D33" s="297"/>
      <c r="E33" s="297"/>
      <c r="F33" s="255"/>
      <c r="G33" s="254"/>
      <c r="H33" s="254"/>
      <c r="I33" s="254"/>
      <c r="J33" s="254"/>
    </row>
    <row r="34" spans="1:10" ht="16.5" x14ac:dyDescent="0.3">
      <c r="A34" s="254"/>
      <c r="B34" s="297"/>
      <c r="C34" s="254"/>
      <c r="D34" s="297"/>
      <c r="E34" s="297"/>
      <c r="F34" s="255"/>
      <c r="G34" s="254"/>
      <c r="H34" s="254"/>
      <c r="I34" s="254"/>
      <c r="J34" s="254"/>
    </row>
    <row r="35" spans="1:10" ht="16.5" x14ac:dyDescent="0.3">
      <c r="A35" s="254"/>
      <c r="B35" s="297"/>
      <c r="C35" s="416"/>
      <c r="D35" s="297"/>
      <c r="E35" s="297"/>
      <c r="F35" s="255"/>
      <c r="G35" s="254"/>
      <c r="H35" s="254"/>
      <c r="I35" s="254"/>
      <c r="J35" s="254"/>
    </row>
    <row r="36" spans="1:10" ht="16.5" x14ac:dyDescent="0.3">
      <c r="A36" s="254"/>
      <c r="B36" s="297"/>
      <c r="C36" s="416"/>
      <c r="D36" s="297"/>
      <c r="E36" s="297"/>
      <c r="F36" s="255"/>
      <c r="G36" s="254"/>
      <c r="H36" s="254"/>
      <c r="I36" s="254"/>
      <c r="J36" s="254"/>
    </row>
    <row r="37" spans="1:10" ht="16.5" x14ac:dyDescent="0.3">
      <c r="A37" s="254"/>
      <c r="B37" s="297"/>
      <c r="C37" s="297"/>
      <c r="D37" s="297"/>
      <c r="E37" s="297"/>
      <c r="F37" s="255"/>
      <c r="G37" s="254"/>
      <c r="H37" s="254"/>
      <c r="I37" s="254"/>
      <c r="J37" s="254"/>
    </row>
    <row r="38" spans="1:10" ht="16.5" x14ac:dyDescent="0.3">
      <c r="A38" s="254"/>
      <c r="B38" s="297"/>
      <c r="C38" s="254"/>
      <c r="D38" s="297"/>
      <c r="E38" s="297"/>
      <c r="F38" s="255"/>
      <c r="G38" s="254"/>
      <c r="H38" s="254"/>
      <c r="I38" s="254"/>
      <c r="J38" s="254"/>
    </row>
    <row r="39" spans="1:10" ht="16.5" x14ac:dyDescent="0.3">
      <c r="A39" s="254"/>
      <c r="B39" s="297"/>
      <c r="C39" s="254"/>
      <c r="D39" s="297"/>
      <c r="E39" s="297"/>
      <c r="F39" s="255"/>
      <c r="G39" s="254"/>
      <c r="H39" s="254"/>
      <c r="I39" s="254"/>
      <c r="J39" s="254"/>
    </row>
    <row r="40" spans="1:10" ht="16.5" x14ac:dyDescent="0.3">
      <c r="A40" s="350" t="s">
        <v>678</v>
      </c>
      <c r="G40" s="254"/>
      <c r="H40" s="262"/>
      <c r="I40" s="353"/>
      <c r="J40" s="351" t="s">
        <v>606</v>
      </c>
    </row>
    <row r="41" spans="1:10" ht="16.5" x14ac:dyDescent="0.3">
      <c r="A41" s="114" t="s">
        <v>679</v>
      </c>
      <c r="B41" s="34"/>
      <c r="G41" s="254"/>
      <c r="H41" s="262"/>
      <c r="I41" s="354"/>
      <c r="J41" s="352" t="s">
        <v>604</v>
      </c>
    </row>
    <row r="42" spans="1:10" ht="16.5" x14ac:dyDescent="0.3">
      <c r="A42" s="114"/>
      <c r="B42" s="34"/>
      <c r="G42" s="254"/>
      <c r="H42" s="262"/>
      <c r="I42" s="354"/>
      <c r="J42" s="352"/>
    </row>
    <row r="45" spans="1:10" ht="16.5" x14ac:dyDescent="0.3">
      <c r="A45" s="350" t="s">
        <v>650</v>
      </c>
      <c r="G45" s="254"/>
      <c r="H45" s="262"/>
      <c r="I45" s="353"/>
      <c r="J45"/>
    </row>
    <row r="46" spans="1:10" ht="16.5" x14ac:dyDescent="0.3">
      <c r="A46" s="114" t="s">
        <v>480</v>
      </c>
      <c r="B46" s="34"/>
      <c r="G46" s="254"/>
      <c r="H46" s="262"/>
      <c r="I46" s="354"/>
      <c r="J46" s="449" t="s">
        <v>605</v>
      </c>
    </row>
    <row r="47" spans="1:10" ht="16.5" x14ac:dyDescent="0.3">
      <c r="H47"/>
      <c r="I47" s="63"/>
      <c r="J47" s="449"/>
    </row>
    <row r="48" spans="1:10" ht="15" x14ac:dyDescent="0.25">
      <c r="H48" s="1"/>
      <c r="I48" s="1"/>
      <c r="J48" s="449"/>
    </row>
    <row r="49" spans="1:10" ht="15.75" x14ac:dyDescent="0.3">
      <c r="A49" s="34" t="s">
        <v>410</v>
      </c>
      <c r="H49" s="1"/>
      <c r="I49" s="1"/>
      <c r="J49" s="450"/>
    </row>
    <row r="50" spans="1:10" ht="15.75" x14ac:dyDescent="0.3">
      <c r="A50" s="255" t="s">
        <v>677</v>
      </c>
      <c r="H50" s="1"/>
      <c r="J50" s="450"/>
    </row>
  </sheetData>
  <mergeCells count="17">
    <mergeCell ref="A1:Q1"/>
    <mergeCell ref="A2:Q2"/>
    <mergeCell ref="A3:Q3"/>
    <mergeCell ref="A4:Q4"/>
    <mergeCell ref="A5:A7"/>
    <mergeCell ref="B5:B7"/>
    <mergeCell ref="D5:Q6"/>
    <mergeCell ref="C5:C7"/>
    <mergeCell ref="D7:F7"/>
    <mergeCell ref="G7:Q7"/>
    <mergeCell ref="Q20:Q23"/>
    <mergeCell ref="D22:F22"/>
    <mergeCell ref="G22:P22"/>
    <mergeCell ref="A19:J19"/>
    <mergeCell ref="A20:A23"/>
    <mergeCell ref="C20:C23"/>
    <mergeCell ref="D20:P21"/>
  </mergeCells>
  <phoneticPr fontId="9" type="noConversion"/>
  <pageMargins left="0.31" right="0.23" top="0.27" bottom="0.3" header="0.18" footer="0.21"/>
  <pageSetup scale="57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4" zoomScale="60" zoomScaleNormal="85" workbookViewId="0">
      <selection sqref="A1:D41"/>
    </sheetView>
  </sheetViews>
  <sheetFormatPr defaultRowHeight="14.25" x14ac:dyDescent="0.2"/>
  <cols>
    <col min="1" max="1" width="5.625" customWidth="1"/>
    <col min="2" max="2" width="33.375" customWidth="1"/>
    <col min="3" max="3" width="19.75" bestFit="1" customWidth="1"/>
    <col min="4" max="4" width="20.5" style="12" customWidth="1"/>
    <col min="6" max="6" width="14" customWidth="1"/>
  </cols>
  <sheetData>
    <row r="1" spans="1:6" ht="18.75" x14ac:dyDescent="0.3">
      <c r="A1" s="517" t="s">
        <v>144</v>
      </c>
      <c r="B1" s="517"/>
      <c r="C1" s="517"/>
      <c r="D1" s="517"/>
      <c r="E1" s="79"/>
      <c r="F1" s="63"/>
    </row>
    <row r="2" spans="1:6" ht="16.5" x14ac:dyDescent="0.3">
      <c r="A2" s="321"/>
      <c r="B2" s="321"/>
      <c r="C2" s="321"/>
      <c r="D2" s="321"/>
      <c r="E2" s="79"/>
      <c r="F2" s="63"/>
    </row>
    <row r="3" spans="1:6" ht="16.5" x14ac:dyDescent="0.3">
      <c r="A3" s="518" t="s">
        <v>145</v>
      </c>
      <c r="B3" s="518"/>
      <c r="C3" s="518"/>
      <c r="D3" s="518"/>
      <c r="E3" s="80"/>
      <c r="F3" s="63"/>
    </row>
    <row r="4" spans="1:6" ht="16.5" x14ac:dyDescent="0.3">
      <c r="A4" s="390"/>
      <c r="B4" s="390"/>
      <c r="C4" s="390"/>
      <c r="D4" s="390"/>
      <c r="E4" s="80"/>
      <c r="F4" s="63"/>
    </row>
    <row r="5" spans="1:6" ht="16.5" customHeight="1" x14ac:dyDescent="0.3">
      <c r="A5" s="519" t="s">
        <v>143</v>
      </c>
      <c r="B5" s="521" t="s">
        <v>3</v>
      </c>
      <c r="C5" s="391" t="s">
        <v>623</v>
      </c>
      <c r="D5" s="391" t="s">
        <v>623</v>
      </c>
      <c r="E5" s="63"/>
      <c r="F5" s="63"/>
    </row>
    <row r="6" spans="1:6" ht="30" customHeight="1" x14ac:dyDescent="0.3">
      <c r="A6" s="520"/>
      <c r="B6" s="521"/>
      <c r="C6" s="392" t="s">
        <v>589</v>
      </c>
      <c r="D6" s="392" t="s">
        <v>591</v>
      </c>
      <c r="E6" s="63"/>
      <c r="F6" s="63"/>
    </row>
    <row r="7" spans="1:6" ht="16.5" x14ac:dyDescent="0.3">
      <c r="A7" s="71"/>
      <c r="B7" s="128" t="s">
        <v>146</v>
      </c>
      <c r="C7" s="128"/>
      <c r="D7" s="122"/>
      <c r="E7" s="63"/>
      <c r="F7" s="63"/>
    </row>
    <row r="8" spans="1:6" ht="16.5" x14ac:dyDescent="0.3">
      <c r="A8" s="67"/>
      <c r="B8" s="74"/>
      <c r="C8" s="74"/>
      <c r="D8" s="123"/>
      <c r="E8" s="63"/>
      <c r="F8" s="63"/>
    </row>
    <row r="9" spans="1:6" ht="16.5" x14ac:dyDescent="0.3">
      <c r="A9" s="67"/>
      <c r="B9" s="84" t="s">
        <v>147</v>
      </c>
      <c r="C9" s="84"/>
      <c r="D9" s="124"/>
      <c r="E9" s="63"/>
      <c r="F9" s="63"/>
    </row>
    <row r="10" spans="1:6" ht="16.5" x14ac:dyDescent="0.3">
      <c r="A10" s="67"/>
      <c r="B10" s="74" t="s">
        <v>573</v>
      </c>
      <c r="C10" s="124">
        <f>+'[1]Balacnesheet P&amp;L'!$D$10+'[1]Balacnesheet P&amp;L'!$D$14</f>
        <v>77144372.219999999</v>
      </c>
      <c r="D10" s="491">
        <v>77518000</v>
      </c>
      <c r="E10" s="63"/>
      <c r="F10" s="63"/>
    </row>
    <row r="11" spans="1:6" ht="16.5" x14ac:dyDescent="0.3">
      <c r="A11" s="67"/>
      <c r="B11" s="74" t="s">
        <v>148</v>
      </c>
      <c r="C11" s="124">
        <f>+'[1]Balacnesheet P&amp;L'!$D$13</f>
        <v>-110841430.72000001</v>
      </c>
      <c r="D11" s="491">
        <v>-18477000</v>
      </c>
      <c r="E11" s="63"/>
      <c r="F11" s="63"/>
    </row>
    <row r="12" spans="1:6" ht="16.5" x14ac:dyDescent="0.3">
      <c r="A12" s="67"/>
      <c r="B12" s="74"/>
      <c r="C12" s="124"/>
      <c r="D12" s="123"/>
      <c r="E12" s="63"/>
      <c r="F12" s="63"/>
    </row>
    <row r="13" spans="1:6" ht="16.5" x14ac:dyDescent="0.3">
      <c r="A13" s="67"/>
      <c r="B13" s="84" t="s">
        <v>149</v>
      </c>
      <c r="C13" s="126">
        <f>+C11+C10</f>
        <v>-33697058.500000015</v>
      </c>
      <c r="D13" s="125">
        <f>SUM(D10:D12)</f>
        <v>59041000</v>
      </c>
      <c r="E13" s="63"/>
      <c r="F13" s="63"/>
    </row>
    <row r="14" spans="1:6" ht="16.5" x14ac:dyDescent="0.3">
      <c r="A14" s="67"/>
      <c r="B14" s="74"/>
      <c r="C14" s="124"/>
      <c r="D14" s="123"/>
      <c r="E14" s="63"/>
      <c r="F14" s="63"/>
    </row>
    <row r="15" spans="1:6" ht="16.5" x14ac:dyDescent="0.3">
      <c r="A15" s="105"/>
      <c r="B15" s="84" t="s">
        <v>150</v>
      </c>
      <c r="C15" s="126"/>
      <c r="D15" s="124"/>
      <c r="E15" s="63"/>
      <c r="F15" s="63"/>
    </row>
    <row r="16" spans="1:6" ht="16.5" x14ac:dyDescent="0.3">
      <c r="A16" s="67"/>
      <c r="B16" s="74" t="s">
        <v>151</v>
      </c>
      <c r="C16" s="124">
        <v>0</v>
      </c>
      <c r="D16" s="124">
        <v>0</v>
      </c>
      <c r="E16" s="63"/>
      <c r="F16" s="63"/>
    </row>
    <row r="17" spans="1:6" ht="16.5" x14ac:dyDescent="0.3">
      <c r="A17" s="67"/>
      <c r="B17" s="74" t="s">
        <v>153</v>
      </c>
      <c r="C17" s="124">
        <f>+'[1]Balacnesheet P&amp;L'!$D$16+'[1]Balacnesheet P&amp;L'!$D$17+'[1]Balacnesheet P&amp;L'!$D$18+'[1]Balacnesheet P&amp;L'!$D$19</f>
        <v>447913548.18000001</v>
      </c>
      <c r="D17" s="491">
        <v>273086000</v>
      </c>
      <c r="E17" s="63"/>
      <c r="F17" s="63"/>
    </row>
    <row r="18" spans="1:6" ht="16.5" x14ac:dyDescent="0.3">
      <c r="A18" s="67"/>
      <c r="B18" s="74" t="s">
        <v>152</v>
      </c>
      <c r="C18" s="124">
        <f>+'[1]Balacnesheet P&amp;L'!$D$21</f>
        <v>383713327.88999999</v>
      </c>
      <c r="D18" s="491">
        <v>569288000</v>
      </c>
      <c r="E18" s="63"/>
      <c r="F18" s="63"/>
    </row>
    <row r="19" spans="1:6" ht="16.5" x14ac:dyDescent="0.3">
      <c r="A19" s="67"/>
      <c r="B19" s="84" t="s">
        <v>154</v>
      </c>
      <c r="C19" s="126">
        <f>+C18+C17+C16</f>
        <v>831626876.06999993</v>
      </c>
      <c r="D19" s="126">
        <f>SUM(D16:D18)</f>
        <v>842374000</v>
      </c>
      <c r="E19" s="63"/>
      <c r="F19" s="63"/>
    </row>
    <row r="20" spans="1:6" ht="16.5" x14ac:dyDescent="0.3">
      <c r="A20" s="67"/>
      <c r="B20" s="74"/>
      <c r="C20" s="74"/>
      <c r="D20" s="123"/>
      <c r="E20" s="63"/>
      <c r="F20" s="63"/>
    </row>
    <row r="21" spans="1:6" ht="31.5" customHeight="1" x14ac:dyDescent="0.3">
      <c r="A21" s="105" t="s">
        <v>157</v>
      </c>
      <c r="B21" s="319" t="s">
        <v>155</v>
      </c>
      <c r="C21" s="124">
        <v>0</v>
      </c>
      <c r="D21" s="127">
        <f>'Form U'!H13</f>
        <v>0</v>
      </c>
      <c r="E21" s="63"/>
      <c r="F21" s="63"/>
    </row>
    <row r="22" spans="1:6" ht="16.5" x14ac:dyDescent="0.3">
      <c r="A22" s="67"/>
      <c r="B22" s="74"/>
      <c r="C22" s="74"/>
      <c r="D22" s="123"/>
      <c r="E22" s="63"/>
      <c r="F22" s="63"/>
    </row>
    <row r="23" spans="1:6" ht="30.75" x14ac:dyDescent="0.3">
      <c r="A23" s="69"/>
      <c r="B23" s="320" t="s">
        <v>156</v>
      </c>
      <c r="C23" s="323">
        <f>+C21+C19+C13</f>
        <v>797929817.56999993</v>
      </c>
      <c r="D23" s="322">
        <f>D13+D19+D21</f>
        <v>901415000</v>
      </c>
      <c r="E23" s="63"/>
      <c r="F23" s="349"/>
    </row>
    <row r="24" spans="1:6" ht="16.5" x14ac:dyDescent="0.3">
      <c r="A24" s="73"/>
      <c r="B24" s="73"/>
      <c r="C24" s="73"/>
      <c r="D24" s="81"/>
      <c r="E24" s="63"/>
      <c r="F24" s="63"/>
    </row>
    <row r="25" spans="1:6" ht="16.5" x14ac:dyDescent="0.3">
      <c r="A25" s="63"/>
      <c r="B25" s="63"/>
      <c r="C25" s="349"/>
      <c r="D25" s="78"/>
      <c r="E25" s="63"/>
      <c r="F25" s="63"/>
    </row>
    <row r="26" spans="1:6" ht="16.5" x14ac:dyDescent="0.3">
      <c r="A26" s="63"/>
      <c r="B26" s="63"/>
      <c r="C26" s="63"/>
      <c r="D26" s="78"/>
      <c r="E26" s="63"/>
      <c r="F26" s="63"/>
    </row>
    <row r="27" spans="1:6" ht="16.5" x14ac:dyDescent="0.3">
      <c r="A27" s="63"/>
      <c r="B27" s="63"/>
      <c r="C27" s="63"/>
      <c r="D27" s="78"/>
      <c r="E27" s="63"/>
      <c r="F27" s="63"/>
    </row>
    <row r="28" spans="1:6" ht="16.5" x14ac:dyDescent="0.3">
      <c r="A28" s="63"/>
      <c r="B28" s="82"/>
      <c r="C28" s="82"/>
      <c r="D28" s="78"/>
      <c r="E28" s="63"/>
      <c r="F28" s="63"/>
    </row>
    <row r="29" spans="1:6" ht="16.5" x14ac:dyDescent="0.3">
      <c r="A29" s="63"/>
      <c r="B29" s="82"/>
      <c r="C29" s="82"/>
      <c r="D29" s="78"/>
      <c r="E29" s="63"/>
      <c r="F29" s="63"/>
    </row>
    <row r="30" spans="1:6" ht="16.5" x14ac:dyDescent="0.3">
      <c r="A30" s="350" t="s">
        <v>678</v>
      </c>
      <c r="C30" s="63"/>
      <c r="D30" s="351" t="s">
        <v>606</v>
      </c>
      <c r="E30" s="63"/>
      <c r="F30" s="63"/>
    </row>
    <row r="31" spans="1:6" ht="15" x14ac:dyDescent="0.25">
      <c r="A31" s="114" t="s">
        <v>679</v>
      </c>
      <c r="D31" s="352" t="s">
        <v>604</v>
      </c>
    </row>
    <row r="36" spans="1:4" ht="15" x14ac:dyDescent="0.25">
      <c r="A36" s="350" t="s">
        <v>650</v>
      </c>
      <c r="B36" s="7"/>
      <c r="C36" s="17"/>
      <c r="D36" s="449" t="s">
        <v>605</v>
      </c>
    </row>
    <row r="37" spans="1:4" ht="15" x14ac:dyDescent="0.25">
      <c r="A37" s="114" t="s">
        <v>480</v>
      </c>
      <c r="B37" s="7"/>
      <c r="C37" s="17"/>
      <c r="D37" s="352"/>
    </row>
    <row r="39" spans="1:4" ht="15" x14ac:dyDescent="0.25">
      <c r="D39" s="449"/>
    </row>
    <row r="40" spans="1:4" ht="15.75" x14ac:dyDescent="0.3">
      <c r="A40" s="34" t="s">
        <v>410</v>
      </c>
      <c r="D40" s="450"/>
    </row>
    <row r="41" spans="1:4" ht="15.75" x14ac:dyDescent="0.3">
      <c r="A41" s="255" t="s">
        <v>677</v>
      </c>
      <c r="D41" s="450"/>
    </row>
  </sheetData>
  <mergeCells count="4">
    <mergeCell ref="A1:D1"/>
    <mergeCell ref="A3:D3"/>
    <mergeCell ref="A5:A6"/>
    <mergeCell ref="B5:B6"/>
  </mergeCells>
  <phoneticPr fontId="6" type="noConversion"/>
  <printOptions horizontalCentered="1" verticalCentered="1"/>
  <pageMargins left="0.75" right="0.75" top="1" bottom="1" header="0.5" footer="0.5"/>
  <pageSetup scale="84" orientation="portrait" horizontalDpi="429496729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38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view="pageBreakPreview" topLeftCell="A23" zoomScale="85" zoomScaleNormal="100" zoomScaleSheetLayoutView="85" workbookViewId="0">
      <selection activeCell="C24" sqref="C24"/>
    </sheetView>
  </sheetViews>
  <sheetFormatPr defaultRowHeight="14.25" x14ac:dyDescent="0.2"/>
  <cols>
    <col min="1" max="1" width="11.375" style="5" bestFit="1" customWidth="1"/>
    <col min="2" max="2" width="46.25" style="5" customWidth="1"/>
    <col min="3" max="3" width="15.625" style="5" customWidth="1"/>
    <col min="4" max="4" width="16.125" style="18" customWidth="1"/>
    <col min="5" max="5" width="9" style="5"/>
    <col min="6" max="6" width="18.75" style="5" customWidth="1"/>
    <col min="7" max="16384" width="9" style="5"/>
  </cols>
  <sheetData>
    <row r="1" spans="1:4" ht="19.5" customHeight="1" x14ac:dyDescent="0.2">
      <c r="A1" s="524" t="s">
        <v>143</v>
      </c>
      <c r="B1" s="524" t="s">
        <v>3</v>
      </c>
      <c r="C1" s="391" t="s">
        <v>623</v>
      </c>
      <c r="D1" s="391" t="s">
        <v>623</v>
      </c>
    </row>
    <row r="2" spans="1:4" ht="29.25" customHeight="1" x14ac:dyDescent="0.2">
      <c r="A2" s="524"/>
      <c r="B2" s="524"/>
      <c r="C2" s="395" t="s">
        <v>590</v>
      </c>
      <c r="D2" s="396" t="s">
        <v>592</v>
      </c>
    </row>
    <row r="3" spans="1:4" ht="16.5" x14ac:dyDescent="0.3">
      <c r="A3" s="325" t="s">
        <v>235</v>
      </c>
      <c r="B3" s="129" t="s">
        <v>158</v>
      </c>
      <c r="C3" s="129"/>
      <c r="D3" s="130"/>
    </row>
    <row r="4" spans="1:4" ht="16.5" x14ac:dyDescent="0.3">
      <c r="A4" s="325"/>
      <c r="B4" s="90"/>
      <c r="C4" s="90"/>
      <c r="D4" s="85"/>
    </row>
    <row r="5" spans="1:4" ht="16.5" x14ac:dyDescent="0.3">
      <c r="A5" s="326"/>
      <c r="B5" s="328" t="s">
        <v>159</v>
      </c>
      <c r="C5" s="86"/>
      <c r="D5" s="66"/>
    </row>
    <row r="6" spans="1:4" ht="16.5" x14ac:dyDescent="0.3">
      <c r="A6" s="326"/>
      <c r="B6" s="86" t="s">
        <v>160</v>
      </c>
      <c r="C6" s="124">
        <f>'Form V'!F29</f>
        <v>323922213.53999996</v>
      </c>
      <c r="D6" s="210">
        <f>ROUND('Form V'!J29,-3)</f>
        <v>642617000</v>
      </c>
    </row>
    <row r="7" spans="1:4" ht="16.5" x14ac:dyDescent="0.3">
      <c r="A7" s="326"/>
      <c r="B7" s="86" t="s">
        <v>161</v>
      </c>
      <c r="C7" s="219">
        <f>'Form N'!F24</f>
        <v>85288612</v>
      </c>
      <c r="D7" s="215">
        <f>ROUND('Form N'!J24,-3)</f>
        <v>89158000</v>
      </c>
    </row>
    <row r="8" spans="1:4" ht="16.5" x14ac:dyDescent="0.3">
      <c r="A8" s="326" t="s">
        <v>168</v>
      </c>
      <c r="B8" s="86" t="s">
        <v>162</v>
      </c>
      <c r="C8" s="126">
        <f>+C6-C7</f>
        <v>238633601.53999996</v>
      </c>
      <c r="D8" s="211">
        <f>D6-D7</f>
        <v>553459000</v>
      </c>
    </row>
    <row r="9" spans="1:4" ht="16.5" x14ac:dyDescent="0.3">
      <c r="A9" s="326" t="s">
        <v>169</v>
      </c>
      <c r="B9" s="86" t="s">
        <v>163</v>
      </c>
      <c r="C9" s="124">
        <f>'Form W1'!C10</f>
        <v>313717231</v>
      </c>
      <c r="D9" s="210">
        <f>ROUND('Form W1'!D10,-3)</f>
        <v>391525000</v>
      </c>
    </row>
    <row r="10" spans="1:4" ht="16.5" x14ac:dyDescent="0.3">
      <c r="A10" s="326"/>
      <c r="B10" s="86" t="s">
        <v>164</v>
      </c>
      <c r="C10" s="124"/>
      <c r="D10" s="210"/>
    </row>
    <row r="11" spans="1:4" ht="16.5" x14ac:dyDescent="0.3">
      <c r="A11" s="326"/>
      <c r="B11" s="86" t="s">
        <v>165</v>
      </c>
      <c r="C11" s="124">
        <v>0</v>
      </c>
      <c r="D11" s="210">
        <v>0</v>
      </c>
    </row>
    <row r="12" spans="1:4" ht="16.5" x14ac:dyDescent="0.3">
      <c r="A12" s="326"/>
      <c r="B12" s="86" t="s">
        <v>166</v>
      </c>
      <c r="C12" s="124"/>
      <c r="D12" s="210"/>
    </row>
    <row r="13" spans="1:4" ht="16.5" x14ac:dyDescent="0.3">
      <c r="A13" s="326"/>
      <c r="B13" s="86"/>
      <c r="C13" s="124"/>
      <c r="D13" s="210"/>
    </row>
    <row r="14" spans="1:4" ht="16.5" x14ac:dyDescent="0.3">
      <c r="A14" s="326"/>
      <c r="B14" s="328" t="s">
        <v>167</v>
      </c>
      <c r="C14" s="126">
        <f>+C9+C8+C11</f>
        <v>552350832.53999996</v>
      </c>
      <c r="D14" s="211">
        <f>SUM(D8:D11)</f>
        <v>944984000</v>
      </c>
    </row>
    <row r="15" spans="1:4" ht="16.5" x14ac:dyDescent="0.3">
      <c r="A15" s="326"/>
      <c r="B15" s="86"/>
      <c r="C15" s="124"/>
      <c r="D15" s="210"/>
    </row>
    <row r="16" spans="1:4" ht="16.5" x14ac:dyDescent="0.3">
      <c r="A16" s="326"/>
      <c r="B16" s="86"/>
      <c r="C16" s="124"/>
      <c r="D16" s="210"/>
    </row>
    <row r="17" spans="1:6" ht="16.5" x14ac:dyDescent="0.3">
      <c r="A17" s="326"/>
      <c r="B17" s="328" t="s">
        <v>170</v>
      </c>
      <c r="C17" s="124">
        <v>0</v>
      </c>
      <c r="D17" s="210">
        <v>0</v>
      </c>
    </row>
    <row r="18" spans="1:6" ht="14.25" customHeight="1" x14ac:dyDescent="0.3">
      <c r="A18" s="326"/>
      <c r="B18" s="86"/>
      <c r="C18" s="124"/>
      <c r="D18" s="210"/>
    </row>
    <row r="19" spans="1:6" ht="20.25" customHeight="1" x14ac:dyDescent="0.3">
      <c r="A19" s="326"/>
      <c r="B19" s="328" t="s">
        <v>352</v>
      </c>
      <c r="C19" s="124"/>
      <c r="D19" s="210"/>
    </row>
    <row r="20" spans="1:6" ht="16.5" x14ac:dyDescent="0.3">
      <c r="A20" s="326"/>
      <c r="B20" s="328" t="s">
        <v>171</v>
      </c>
      <c r="C20" s="124"/>
      <c r="D20" s="210"/>
    </row>
    <row r="21" spans="1:6" ht="16.5" x14ac:dyDescent="0.3">
      <c r="A21" s="326" t="s">
        <v>188</v>
      </c>
      <c r="B21" s="86" t="s">
        <v>172</v>
      </c>
      <c r="C21" s="124">
        <v>0</v>
      </c>
      <c r="D21" s="210">
        <v>0</v>
      </c>
    </row>
    <row r="22" spans="1:6" ht="16.5" x14ac:dyDescent="0.3">
      <c r="A22" s="326"/>
      <c r="B22" s="86" t="s">
        <v>173</v>
      </c>
      <c r="C22" s="124">
        <f>+'[1]Balacnesheet P&amp;L'!$D$30</f>
        <v>12813783.100000001</v>
      </c>
      <c r="D22" s="210">
        <f>'Form Y'!K21</f>
        <v>19317000</v>
      </c>
    </row>
    <row r="23" spans="1:6" ht="16.5" x14ac:dyDescent="0.3">
      <c r="A23" s="326"/>
      <c r="B23" s="86" t="s">
        <v>174</v>
      </c>
      <c r="C23" s="124">
        <f>+'[1]Balacnesheet P&amp;L'!$D$31</f>
        <v>11744697.630000001</v>
      </c>
      <c r="D23" s="210">
        <v>36782000</v>
      </c>
    </row>
    <row r="24" spans="1:6" ht="16.5" x14ac:dyDescent="0.3">
      <c r="A24" s="326"/>
      <c r="B24" s="86" t="s">
        <v>175</v>
      </c>
      <c r="C24" s="124">
        <f>+'[1]Balacnesheet P&amp;L'!$D$28+'[1]Balacnesheet P&amp;L'!$D$32+'[1]Balacnesheet P&amp;L'!$D$33+'[1]Balacnesheet P&amp;L'!$D$34</f>
        <v>300499890.30000001</v>
      </c>
      <c r="D24" s="124">
        <v>553000</v>
      </c>
    </row>
    <row r="25" spans="1:6" ht="16.5" x14ac:dyDescent="0.3">
      <c r="A25" s="326"/>
      <c r="B25" s="86" t="s">
        <v>176</v>
      </c>
      <c r="C25" s="124">
        <v>0</v>
      </c>
      <c r="D25" s="210">
        <v>3041000</v>
      </c>
    </row>
    <row r="26" spans="1:6" ht="16.5" x14ac:dyDescent="0.3">
      <c r="A26" s="326"/>
      <c r="B26" s="86"/>
      <c r="C26" s="86"/>
      <c r="D26" s="210"/>
      <c r="F26" s="3"/>
    </row>
    <row r="27" spans="1:6" ht="16.5" x14ac:dyDescent="0.3">
      <c r="A27" s="326"/>
      <c r="B27" s="328" t="s">
        <v>177</v>
      </c>
      <c r="C27" s="211">
        <f>SUM(C21:C25)</f>
        <v>325058371.03000003</v>
      </c>
      <c r="D27" s="211">
        <f>SUM(D21:D25)</f>
        <v>59693000</v>
      </c>
    </row>
    <row r="28" spans="1:6" ht="16.5" x14ac:dyDescent="0.3">
      <c r="A28" s="326"/>
      <c r="B28" s="86"/>
      <c r="C28" s="86"/>
      <c r="D28" s="210"/>
    </row>
    <row r="29" spans="1:6" ht="16.5" x14ac:dyDescent="0.3">
      <c r="A29" s="326"/>
      <c r="B29" s="328" t="s">
        <v>178</v>
      </c>
      <c r="C29" s="86"/>
      <c r="D29" s="210"/>
    </row>
    <row r="30" spans="1:6" ht="16.5" x14ac:dyDescent="0.3">
      <c r="A30" s="326"/>
      <c r="B30" s="86"/>
      <c r="C30" s="86"/>
      <c r="D30" s="210"/>
    </row>
    <row r="31" spans="1:6" ht="16.5" x14ac:dyDescent="0.3">
      <c r="A31" s="326"/>
      <c r="B31" s="86" t="s">
        <v>179</v>
      </c>
      <c r="C31" s="124">
        <f>+'[1]Balacnesheet P&amp;L'!$B$45</f>
        <v>77755202</v>
      </c>
      <c r="D31" s="491">
        <v>64000000</v>
      </c>
    </row>
    <row r="32" spans="1:6" ht="16.5" x14ac:dyDescent="0.3">
      <c r="A32" s="326"/>
      <c r="B32" s="86" t="s">
        <v>180</v>
      </c>
      <c r="C32" s="124">
        <v>0</v>
      </c>
      <c r="D32" s="210">
        <v>0</v>
      </c>
    </row>
    <row r="33" spans="1:6" ht="16.5" x14ac:dyDescent="0.3">
      <c r="A33" s="326"/>
      <c r="B33" s="86" t="s">
        <v>181</v>
      </c>
      <c r="C33" s="124">
        <v>0</v>
      </c>
      <c r="D33" s="124">
        <v>0</v>
      </c>
    </row>
    <row r="34" spans="1:6" ht="16.5" x14ac:dyDescent="0.3">
      <c r="A34" s="326"/>
      <c r="B34" s="86" t="s">
        <v>182</v>
      </c>
      <c r="C34" s="124">
        <f>+'[1]Balacnesheet P&amp;L'!$B$44+'[1]Balacnesheet P&amp;L'!$B$43+'[1]Balacnesheet P&amp;L'!$B$42+'[1]Balacnesheet P&amp;L'!$B$41+'[1]Balacnesheet P&amp;L'!$B$40+'[1]Balacnesheet P&amp;L'!$B$39</f>
        <v>1724184</v>
      </c>
      <c r="D34" s="491">
        <v>39262000</v>
      </c>
    </row>
    <row r="35" spans="1:6" ht="16.5" x14ac:dyDescent="0.3">
      <c r="A35" s="326"/>
      <c r="B35" s="86"/>
      <c r="C35" s="86"/>
      <c r="D35" s="210"/>
    </row>
    <row r="36" spans="1:6" ht="16.5" x14ac:dyDescent="0.3">
      <c r="A36" s="326"/>
      <c r="B36" s="328" t="s">
        <v>183</v>
      </c>
      <c r="C36" s="211">
        <f>SUM(C31:C34)</f>
        <v>79479386</v>
      </c>
      <c r="D36" s="211">
        <f>SUM(D31:D34)</f>
        <v>103262000</v>
      </c>
    </row>
    <row r="37" spans="1:6" ht="16.5" x14ac:dyDescent="0.3">
      <c r="A37" s="326"/>
      <c r="B37" s="328" t="s">
        <v>184</v>
      </c>
      <c r="C37" s="86"/>
      <c r="D37" s="210"/>
    </row>
    <row r="38" spans="1:6" ht="16.5" x14ac:dyDescent="0.3">
      <c r="A38" s="326"/>
      <c r="B38" s="86" t="s">
        <v>185</v>
      </c>
      <c r="C38" s="211">
        <f>C27-C36</f>
        <v>245578985.03000003</v>
      </c>
      <c r="D38" s="211">
        <f>D27-D36</f>
        <v>-43569000</v>
      </c>
    </row>
    <row r="39" spans="1:6" ht="16.5" x14ac:dyDescent="0.3">
      <c r="A39" s="326"/>
      <c r="B39" s="329"/>
      <c r="C39" s="324"/>
      <c r="D39" s="210"/>
      <c r="F39" s="19">
        <f>D40-'Form C'!D23</f>
        <v>0</v>
      </c>
    </row>
    <row r="40" spans="1:6" ht="18" customHeight="1" x14ac:dyDescent="0.3">
      <c r="A40" s="326"/>
      <c r="B40" s="329" t="s">
        <v>186</v>
      </c>
      <c r="C40" s="211">
        <f>C14+C17+C38</f>
        <v>797929817.56999993</v>
      </c>
      <c r="D40" s="211">
        <f>D14+D17+D38</f>
        <v>901415000</v>
      </c>
    </row>
    <row r="41" spans="1:6" ht="16.5" x14ac:dyDescent="0.3">
      <c r="A41" s="327"/>
      <c r="B41" s="91"/>
      <c r="C41" s="273">
        <f>'Form C'!C23-'Form C (2)'!C40</f>
        <v>0</v>
      </c>
      <c r="D41" s="273">
        <f>'Form C'!D23-'Form C (2)'!D40</f>
        <v>0</v>
      </c>
    </row>
    <row r="42" spans="1:6" ht="16.5" x14ac:dyDescent="0.3">
      <c r="A42" s="88"/>
      <c r="B42" s="522" t="s">
        <v>187</v>
      </c>
      <c r="C42" s="522"/>
      <c r="D42" s="522"/>
    </row>
    <row r="43" spans="1:6" ht="16.5" x14ac:dyDescent="0.3">
      <c r="A43" s="88"/>
      <c r="B43" s="523"/>
      <c r="C43" s="523"/>
      <c r="D43" s="523"/>
    </row>
    <row r="44" spans="1:6" ht="16.5" x14ac:dyDescent="0.3">
      <c r="A44" s="88"/>
      <c r="B44" s="523"/>
      <c r="C44" s="523"/>
      <c r="D44" s="523"/>
    </row>
    <row r="45" spans="1:6" ht="16.5" x14ac:dyDescent="0.3">
      <c r="A45" s="88"/>
      <c r="B45" s="88"/>
      <c r="C45" s="88"/>
      <c r="D45" s="89"/>
    </row>
    <row r="46" spans="1:6" ht="16.5" x14ac:dyDescent="0.3">
      <c r="A46" s="88"/>
      <c r="B46" s="88"/>
      <c r="C46" s="88"/>
      <c r="D46" s="89"/>
    </row>
    <row r="47" spans="1:6" ht="16.5" x14ac:dyDescent="0.3">
      <c r="A47" s="88"/>
      <c r="B47" s="88"/>
      <c r="C47" s="88"/>
      <c r="D47" s="89"/>
    </row>
    <row r="48" spans="1:6" ht="16.5" x14ac:dyDescent="0.3">
      <c r="A48" s="88"/>
      <c r="B48" s="88"/>
      <c r="C48" s="88"/>
      <c r="D48" s="89"/>
    </row>
    <row r="49" spans="1:4" ht="15" x14ac:dyDescent="0.25">
      <c r="A49" s="350" t="s">
        <v>678</v>
      </c>
      <c r="C49" s="82"/>
      <c r="D49" s="351" t="s">
        <v>606</v>
      </c>
    </row>
    <row r="50" spans="1:4" ht="15" x14ac:dyDescent="0.25">
      <c r="A50" s="114" t="s">
        <v>679</v>
      </c>
      <c r="C50" s="82"/>
      <c r="D50" s="352" t="s">
        <v>604</v>
      </c>
    </row>
    <row r="55" spans="1:4" ht="15" x14ac:dyDescent="0.25">
      <c r="A55" s="350" t="s">
        <v>650</v>
      </c>
      <c r="B55" s="7"/>
      <c r="C55" s="17"/>
      <c r="D55" s="449" t="s">
        <v>605</v>
      </c>
    </row>
    <row r="56" spans="1:4" ht="15" x14ac:dyDescent="0.25">
      <c r="A56" s="114" t="s">
        <v>480</v>
      </c>
      <c r="B56" s="7"/>
      <c r="C56" s="17"/>
      <c r="D56" s="352"/>
    </row>
    <row r="58" spans="1:4" ht="15" x14ac:dyDescent="0.25">
      <c r="D58" s="449"/>
    </row>
    <row r="59" spans="1:4" ht="15.75" x14ac:dyDescent="0.3">
      <c r="A59" s="34" t="s">
        <v>410</v>
      </c>
      <c r="D59" s="450"/>
    </row>
    <row r="60" spans="1:4" ht="15.75" x14ac:dyDescent="0.3">
      <c r="A60" s="255" t="s">
        <v>677</v>
      </c>
      <c r="D60" s="450"/>
    </row>
  </sheetData>
  <mergeCells count="3">
    <mergeCell ref="B42:D44"/>
    <mergeCell ref="A1:A2"/>
    <mergeCell ref="B1:B2"/>
  </mergeCells>
  <phoneticPr fontId="6" type="noConversion"/>
  <printOptions horizontalCentered="1"/>
  <pageMargins left="0.43" right="0.39" top="0.43" bottom="0.48" header="0.22" footer="0.23"/>
  <pageSetup paperSize="9" scale="73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view="pageBreakPreview" topLeftCell="A75" zoomScale="85" zoomScaleNormal="100" zoomScaleSheetLayoutView="85" workbookViewId="0">
      <selection sqref="A1:D91"/>
    </sheetView>
  </sheetViews>
  <sheetFormatPr defaultRowHeight="14.25" x14ac:dyDescent="0.2"/>
  <cols>
    <col min="1" max="1" width="7" style="16" customWidth="1"/>
    <col min="2" max="2" width="60.75" customWidth="1"/>
    <col min="3" max="3" width="17" style="14" bestFit="1" customWidth="1"/>
    <col min="4" max="4" width="16.125" customWidth="1"/>
    <col min="5" max="5" width="16" bestFit="1" customWidth="1"/>
    <col min="7" max="7" width="14.375" bestFit="1" customWidth="1"/>
  </cols>
  <sheetData>
    <row r="1" spans="1:5" ht="15" x14ac:dyDescent="0.25">
      <c r="A1" s="525" t="s">
        <v>189</v>
      </c>
      <c r="B1" s="525"/>
      <c r="C1" s="525"/>
      <c r="D1" s="525"/>
    </row>
    <row r="2" spans="1:5" ht="15" x14ac:dyDescent="0.25">
      <c r="A2" s="525" t="s">
        <v>190</v>
      </c>
      <c r="B2" s="525"/>
      <c r="C2" s="525"/>
      <c r="D2" s="526"/>
    </row>
    <row r="3" spans="1:5" ht="14.25" customHeight="1" x14ac:dyDescent="0.25">
      <c r="A3" s="108" t="s">
        <v>285</v>
      </c>
      <c r="B3" s="109" t="s">
        <v>3</v>
      </c>
      <c r="C3" s="391" t="s">
        <v>623</v>
      </c>
      <c r="D3" s="391" t="s">
        <v>623</v>
      </c>
      <c r="E3" s="6"/>
    </row>
    <row r="4" spans="1:5" ht="30" x14ac:dyDescent="0.25">
      <c r="A4" s="101"/>
      <c r="B4" s="102"/>
      <c r="C4" s="396" t="s">
        <v>590</v>
      </c>
      <c r="D4" s="396" t="s">
        <v>592</v>
      </c>
    </row>
    <row r="5" spans="1:5" ht="16.5" x14ac:dyDescent="0.3">
      <c r="A5" s="110" t="s">
        <v>55</v>
      </c>
      <c r="B5" s="67" t="s">
        <v>191</v>
      </c>
      <c r="C5" s="132"/>
      <c r="D5" s="71"/>
    </row>
    <row r="6" spans="1:5" ht="16.5" x14ac:dyDescent="0.3">
      <c r="A6" s="105">
        <v>1</v>
      </c>
      <c r="B6" s="67" t="s">
        <v>225</v>
      </c>
      <c r="C6" s="132"/>
      <c r="D6" s="103"/>
    </row>
    <row r="7" spans="1:5" ht="15.75" customHeight="1" x14ac:dyDescent="0.3">
      <c r="A7" s="113" t="s">
        <v>192</v>
      </c>
      <c r="B7" s="117" t="s">
        <v>193</v>
      </c>
      <c r="C7" s="362">
        <f>'Form B'!C43</f>
        <v>-39842494.677328289</v>
      </c>
      <c r="D7" s="123">
        <f>'Form B'!E43</f>
        <v>-19864000</v>
      </c>
    </row>
    <row r="8" spans="1:5" ht="16.5" x14ac:dyDescent="0.3">
      <c r="A8" s="105"/>
      <c r="B8" s="111" t="s">
        <v>194</v>
      </c>
      <c r="C8" s="330">
        <v>0</v>
      </c>
      <c r="D8" s="123">
        <v>0</v>
      </c>
    </row>
    <row r="9" spans="1:5" ht="16.5" x14ac:dyDescent="0.3">
      <c r="A9" s="105"/>
      <c r="B9" s="116" t="s">
        <v>195</v>
      </c>
      <c r="C9" s="404">
        <f>+C8+C7</f>
        <v>-39842494.677328289</v>
      </c>
      <c r="D9" s="125">
        <f>SUM(D7+D8)</f>
        <v>-19864000</v>
      </c>
    </row>
    <row r="10" spans="1:5" ht="16.5" x14ac:dyDescent="0.3">
      <c r="A10" s="105"/>
      <c r="B10" s="67"/>
      <c r="C10" s="204"/>
      <c r="D10" s="123"/>
    </row>
    <row r="11" spans="1:5" ht="16.5" x14ac:dyDescent="0.3">
      <c r="A11" s="105" t="s">
        <v>196</v>
      </c>
      <c r="B11" s="117" t="s">
        <v>197</v>
      </c>
      <c r="C11" s="362"/>
      <c r="D11" s="123"/>
    </row>
    <row r="12" spans="1:5" ht="16.5" x14ac:dyDescent="0.3">
      <c r="A12" s="105" t="s">
        <v>198</v>
      </c>
      <c r="B12" s="67" t="s">
        <v>136</v>
      </c>
      <c r="C12" s="204">
        <f>'Form N'!D24</f>
        <v>10453720</v>
      </c>
      <c r="D12" s="123">
        <f>'Form B'!D25</f>
        <v>14540000</v>
      </c>
    </row>
    <row r="13" spans="1:5" ht="16.5" x14ac:dyDescent="0.3">
      <c r="A13" s="105" t="s">
        <v>199</v>
      </c>
      <c r="B13" s="67" t="s">
        <v>200</v>
      </c>
      <c r="C13" s="204">
        <v>0</v>
      </c>
      <c r="D13" s="123">
        <v>0</v>
      </c>
    </row>
    <row r="14" spans="1:5" ht="16.5" x14ac:dyDescent="0.3">
      <c r="A14" s="105" t="s">
        <v>201</v>
      </c>
      <c r="B14" s="67" t="s">
        <v>202</v>
      </c>
      <c r="C14" s="204">
        <v>0</v>
      </c>
      <c r="D14" s="123">
        <v>0</v>
      </c>
    </row>
    <row r="15" spans="1:5" ht="16.5" x14ac:dyDescent="0.3">
      <c r="A15" s="105" t="s">
        <v>203</v>
      </c>
      <c r="B15" s="67" t="s">
        <v>204</v>
      </c>
      <c r="C15" s="204">
        <v>0</v>
      </c>
      <c r="D15" s="123">
        <v>0</v>
      </c>
    </row>
    <row r="16" spans="1:5" ht="16.5" x14ac:dyDescent="0.3">
      <c r="A16" s="105" t="s">
        <v>205</v>
      </c>
      <c r="B16" s="67" t="s">
        <v>206</v>
      </c>
      <c r="C16" s="204">
        <v>0</v>
      </c>
      <c r="D16" s="123">
        <v>0</v>
      </c>
    </row>
    <row r="17" spans="1:4" ht="16.5" x14ac:dyDescent="0.3">
      <c r="A17" s="105"/>
      <c r="B17" s="116" t="s">
        <v>207</v>
      </c>
      <c r="C17" s="404">
        <f>SUM(C12:C16)</f>
        <v>10453720</v>
      </c>
      <c r="D17" s="125">
        <f>SUM(D12:D16)</f>
        <v>14540000</v>
      </c>
    </row>
    <row r="18" spans="1:4" ht="16.5" x14ac:dyDescent="0.3">
      <c r="A18" s="105" t="s">
        <v>239</v>
      </c>
      <c r="B18" s="111" t="s">
        <v>388</v>
      </c>
      <c r="C18" s="330"/>
      <c r="D18" s="123"/>
    </row>
    <row r="19" spans="1:4" ht="16.5" x14ac:dyDescent="0.3">
      <c r="A19" s="105" t="s">
        <v>198</v>
      </c>
      <c r="B19" s="67" t="s">
        <v>136</v>
      </c>
      <c r="C19" s="204">
        <v>0</v>
      </c>
      <c r="D19" s="123">
        <v>0</v>
      </c>
    </row>
    <row r="20" spans="1:4" ht="16.5" x14ac:dyDescent="0.3">
      <c r="A20" s="105" t="s">
        <v>199</v>
      </c>
      <c r="B20" s="67" t="s">
        <v>574</v>
      </c>
      <c r="C20" s="204">
        <v>0</v>
      </c>
      <c r="D20" s="123">
        <f>-'Form B'!D36</f>
        <v>0</v>
      </c>
    </row>
    <row r="21" spans="1:4" ht="16.5" x14ac:dyDescent="0.3">
      <c r="A21" s="105"/>
      <c r="B21" s="116" t="s">
        <v>389</v>
      </c>
      <c r="C21" s="204">
        <f>SUM(C19:C20)</f>
        <v>0</v>
      </c>
      <c r="D21" s="123">
        <f>SUM(D19:D20)</f>
        <v>0</v>
      </c>
    </row>
    <row r="22" spans="1:4" ht="16.5" x14ac:dyDescent="0.3">
      <c r="A22" s="105"/>
      <c r="B22" s="116" t="s">
        <v>390</v>
      </c>
      <c r="C22" s="404">
        <f>C9+C17-C21</f>
        <v>-29388774.677328289</v>
      </c>
      <c r="D22" s="125">
        <f>D9+D17-D21</f>
        <v>-5324000</v>
      </c>
    </row>
    <row r="23" spans="1:4" ht="16.5" x14ac:dyDescent="0.3">
      <c r="A23" s="105">
        <v>2</v>
      </c>
      <c r="B23" s="111" t="s">
        <v>208</v>
      </c>
      <c r="C23" s="330">
        <v>0</v>
      </c>
      <c r="D23" s="123">
        <v>0</v>
      </c>
    </row>
    <row r="24" spans="1:4" ht="16.5" x14ac:dyDescent="0.3">
      <c r="A24" s="105"/>
      <c r="B24" s="111"/>
      <c r="C24" s="330"/>
      <c r="D24" s="123"/>
    </row>
    <row r="25" spans="1:4" ht="16.5" x14ac:dyDescent="0.3">
      <c r="A25" s="105">
        <v>3</v>
      </c>
      <c r="B25" s="111" t="s">
        <v>209</v>
      </c>
      <c r="C25" s="330">
        <f>15894313-1519403</f>
        <v>14374910</v>
      </c>
      <c r="D25" s="123">
        <v>0</v>
      </c>
    </row>
    <row r="26" spans="1:4" ht="16.5" x14ac:dyDescent="0.3">
      <c r="A26" s="105">
        <v>4</v>
      </c>
      <c r="B26" s="111" t="s">
        <v>210</v>
      </c>
      <c r="C26" s="330">
        <v>0</v>
      </c>
      <c r="D26" s="123">
        <v>0</v>
      </c>
    </row>
    <row r="27" spans="1:4" ht="16.5" x14ac:dyDescent="0.3">
      <c r="A27" s="105">
        <v>5</v>
      </c>
      <c r="B27" s="115" t="s">
        <v>211</v>
      </c>
      <c r="C27" s="404">
        <f>C22+C24+C25+C26</f>
        <v>-15013864.677328289</v>
      </c>
      <c r="D27" s="125">
        <f>D22+D24+D25+D26</f>
        <v>-5324000</v>
      </c>
    </row>
    <row r="28" spans="1:4" ht="16.5" x14ac:dyDescent="0.3">
      <c r="A28" s="105">
        <v>6</v>
      </c>
      <c r="B28" s="111" t="s">
        <v>212</v>
      </c>
      <c r="C28" s="137"/>
      <c r="D28" s="123"/>
    </row>
    <row r="29" spans="1:4" ht="16.5" x14ac:dyDescent="0.3">
      <c r="A29" s="105" t="s">
        <v>192</v>
      </c>
      <c r="B29" s="115" t="s">
        <v>213</v>
      </c>
      <c r="C29" s="405"/>
      <c r="D29" s="123"/>
    </row>
    <row r="30" spans="1:4" ht="16.5" x14ac:dyDescent="0.3">
      <c r="A30" s="105" t="s">
        <v>198</v>
      </c>
      <c r="B30" s="111" t="s">
        <v>214</v>
      </c>
      <c r="C30" s="330">
        <v>0</v>
      </c>
      <c r="D30" s="123">
        <v>0</v>
      </c>
    </row>
    <row r="31" spans="1:4" ht="16.5" x14ac:dyDescent="0.3">
      <c r="A31" s="105" t="s">
        <v>199</v>
      </c>
      <c r="B31" s="111" t="s">
        <v>215</v>
      </c>
      <c r="C31" s="330">
        <f>+'Form C (2)'!C22-'[2]Form C (2)'!$C$23</f>
        <v>-3417503.0199999977</v>
      </c>
      <c r="D31" s="330">
        <v>480000</v>
      </c>
    </row>
    <row r="32" spans="1:4" ht="16.5" x14ac:dyDescent="0.3">
      <c r="A32" s="105" t="s">
        <v>201</v>
      </c>
      <c r="B32" s="111" t="s">
        <v>216</v>
      </c>
      <c r="C32" s="330">
        <f>+'Form C (2)'!C24-'[2]Form C (2)'!$C$25</f>
        <v>9096929</v>
      </c>
      <c r="D32" s="123">
        <v>-35000</v>
      </c>
    </row>
    <row r="33" spans="1:4" ht="16.5" x14ac:dyDescent="0.3">
      <c r="A33" s="105" t="s">
        <v>203</v>
      </c>
      <c r="B33" s="111" t="s">
        <v>217</v>
      </c>
      <c r="C33" s="330">
        <v>0</v>
      </c>
      <c r="D33" s="123">
        <v>0</v>
      </c>
    </row>
    <row r="34" spans="1:4" ht="16.5" x14ac:dyDescent="0.3">
      <c r="A34" s="106"/>
      <c r="B34" s="361" t="s">
        <v>195</v>
      </c>
      <c r="C34" s="406">
        <f>SUM(C30:C33)</f>
        <v>5679425.9800000023</v>
      </c>
      <c r="D34" s="214">
        <f>SUM(D30:D33)</f>
        <v>445000</v>
      </c>
    </row>
    <row r="35" spans="1:4" ht="16.5" x14ac:dyDescent="0.3">
      <c r="A35" s="107"/>
      <c r="B35" s="333"/>
      <c r="C35" s="407"/>
    </row>
    <row r="36" spans="1:4" ht="16.5" x14ac:dyDescent="0.3">
      <c r="A36" s="107"/>
      <c r="B36" s="333"/>
      <c r="C36" s="407"/>
      <c r="D36" s="359"/>
    </row>
    <row r="37" spans="1:4" ht="16.5" x14ac:dyDescent="0.3">
      <c r="A37" s="107"/>
      <c r="B37" s="82"/>
      <c r="C37" s="408"/>
      <c r="D37" s="353"/>
    </row>
    <row r="38" spans="1:4" ht="16.5" x14ac:dyDescent="0.3">
      <c r="A38" s="107"/>
      <c r="B38" s="82"/>
      <c r="C38" s="408"/>
      <c r="D38" s="354"/>
    </row>
    <row r="39" spans="1:4" ht="16.5" x14ac:dyDescent="0.3">
      <c r="A39" s="107"/>
      <c r="B39" s="82"/>
      <c r="C39" s="408"/>
      <c r="D39" s="354"/>
    </row>
    <row r="40" spans="1:4" ht="16.5" x14ac:dyDescent="0.3">
      <c r="A40" s="107"/>
      <c r="B40" s="34" t="s">
        <v>410</v>
      </c>
      <c r="C40" s="408"/>
      <c r="D40" s="365" t="s">
        <v>559</v>
      </c>
    </row>
    <row r="41" spans="1:4" ht="16.5" x14ac:dyDescent="0.3">
      <c r="A41" s="107"/>
      <c r="B41" s="34" t="s">
        <v>677</v>
      </c>
      <c r="C41" s="408"/>
      <c r="D41" s="354"/>
    </row>
    <row r="42" spans="1:4" ht="16.5" x14ac:dyDescent="0.3">
      <c r="A42" s="360"/>
      <c r="B42" s="70"/>
      <c r="C42" s="409"/>
      <c r="D42" s="220"/>
    </row>
    <row r="43" spans="1:4" ht="16.5" x14ac:dyDescent="0.3">
      <c r="A43" s="105" t="s">
        <v>196</v>
      </c>
      <c r="B43" s="115" t="s">
        <v>218</v>
      </c>
      <c r="C43" s="405"/>
      <c r="D43" s="123"/>
    </row>
    <row r="44" spans="1:4" ht="16.5" x14ac:dyDescent="0.3">
      <c r="A44" s="105" t="s">
        <v>198</v>
      </c>
      <c r="B44" s="111" t="s">
        <v>219</v>
      </c>
      <c r="C44" s="330">
        <v>0</v>
      </c>
      <c r="D44" s="123">
        <f>'Form C (2)'!D32</f>
        <v>0</v>
      </c>
    </row>
    <row r="45" spans="1:4" ht="16.5" x14ac:dyDescent="0.3">
      <c r="A45" s="105" t="s">
        <v>199</v>
      </c>
      <c r="B45" s="111" t="s">
        <v>220</v>
      </c>
      <c r="C45" s="123">
        <f>-'[3]Balacnesheet P&amp;L'!$B$45</f>
        <v>-12887100</v>
      </c>
      <c r="D45" s="123">
        <v>12404000</v>
      </c>
    </row>
    <row r="46" spans="1:4" ht="16.5" x14ac:dyDescent="0.3">
      <c r="A46" s="105" t="s">
        <v>201</v>
      </c>
      <c r="B46" s="111" t="s">
        <v>111</v>
      </c>
      <c r="C46" s="465">
        <f>+'[1]Balacnesheet P&amp;L'!$B$43+'[1]Balacnesheet P&amp;L'!$B$42+'[1]Balacnesheet P&amp;L'!$B$41+'[1]Balacnesheet P&amp;L'!$B$40+'[1]Balacnesheet P&amp;L'!$B$39+'[1]Balacnesheet P&amp;L'!$B$44-'[3]Balacnesheet P&amp;L'!$B$46-'[3]Balacnesheet P&amp;L'!$B$44-'[3]Balacnesheet P&amp;L'!$B$43-'[3]Balacnesheet P&amp;L'!$B$42-'[3]Balacnesheet P&amp;L'!$B$41-'[3]Balacnesheet P&amp;L'!$B$40-'[3]Balacnesheet P&amp;L'!$B$39</f>
        <v>433469</v>
      </c>
      <c r="D46" s="204">
        <v>-8669000</v>
      </c>
    </row>
    <row r="47" spans="1:4" ht="16.5" x14ac:dyDescent="0.3">
      <c r="A47" s="105"/>
      <c r="B47" s="115" t="s">
        <v>207</v>
      </c>
      <c r="C47" s="404">
        <f>SUM(C44:C46)</f>
        <v>-12453631</v>
      </c>
      <c r="D47" s="125">
        <f>SUM(D44:D46)</f>
        <v>3735000</v>
      </c>
    </row>
    <row r="48" spans="1:4" ht="16.5" x14ac:dyDescent="0.3">
      <c r="A48" s="105"/>
      <c r="B48" s="115" t="s">
        <v>221</v>
      </c>
      <c r="C48" s="404">
        <f>C34-C47</f>
        <v>18133056.980000004</v>
      </c>
      <c r="D48" s="125">
        <f>D34-D47</f>
        <v>-3290000</v>
      </c>
    </row>
    <row r="49" spans="1:5" ht="16.5" x14ac:dyDescent="0.2">
      <c r="A49" s="113">
        <v>7</v>
      </c>
      <c r="B49" s="118" t="s">
        <v>222</v>
      </c>
      <c r="C49" s="410">
        <f>C27-C48</f>
        <v>-33146921.657328293</v>
      </c>
      <c r="D49" s="212">
        <f>D27-D48</f>
        <v>-2034000</v>
      </c>
    </row>
    <row r="50" spans="1:5" ht="16.5" x14ac:dyDescent="0.3">
      <c r="A50" s="105">
        <v>8</v>
      </c>
      <c r="B50" s="67" t="s">
        <v>223</v>
      </c>
      <c r="C50" s="204">
        <v>0</v>
      </c>
      <c r="D50" s="123">
        <v>0</v>
      </c>
    </row>
    <row r="51" spans="1:5" ht="15.75" customHeight="1" x14ac:dyDescent="0.3">
      <c r="A51" s="105"/>
      <c r="B51" s="119" t="s">
        <v>224</v>
      </c>
      <c r="C51" s="404">
        <f>C49+C50</f>
        <v>-33146921.657328293</v>
      </c>
      <c r="D51" s="125">
        <f>D49+D50</f>
        <v>-2034000</v>
      </c>
    </row>
    <row r="52" spans="1:5" ht="16.5" x14ac:dyDescent="0.3">
      <c r="A52" s="105" t="s">
        <v>54</v>
      </c>
      <c r="B52" s="116" t="s">
        <v>226</v>
      </c>
      <c r="C52" s="139"/>
      <c r="D52" s="123"/>
    </row>
    <row r="53" spans="1:5" ht="16.5" x14ac:dyDescent="0.3">
      <c r="A53" s="105" t="s">
        <v>192</v>
      </c>
      <c r="B53" s="116" t="s">
        <v>227</v>
      </c>
      <c r="C53" s="139"/>
      <c r="D53" s="123"/>
    </row>
    <row r="54" spans="1:5" ht="16.5" x14ac:dyDescent="0.3">
      <c r="A54" s="105" t="s">
        <v>198</v>
      </c>
      <c r="B54" s="67" t="s">
        <v>228</v>
      </c>
      <c r="C54" s="204">
        <v>0</v>
      </c>
      <c r="D54" s="123">
        <v>0</v>
      </c>
    </row>
    <row r="55" spans="1:5" ht="16.5" x14ac:dyDescent="0.3">
      <c r="A55" s="105" t="s">
        <v>199</v>
      </c>
      <c r="B55" s="67" t="s">
        <v>229</v>
      </c>
      <c r="C55" s="204">
        <v>0</v>
      </c>
      <c r="D55" s="123">
        <v>0</v>
      </c>
    </row>
    <row r="56" spans="1:5" ht="16.5" x14ac:dyDescent="0.3">
      <c r="A56" s="105" t="s">
        <v>201</v>
      </c>
      <c r="B56" s="67" t="s">
        <v>230</v>
      </c>
      <c r="C56" s="464">
        <v>236031693.84</v>
      </c>
      <c r="D56" s="204">
        <f>53153000+31782000</f>
        <v>84935000</v>
      </c>
      <c r="E56" s="10"/>
    </row>
    <row r="57" spans="1:5" ht="16.5" x14ac:dyDescent="0.3">
      <c r="A57" s="105"/>
      <c r="B57" s="116" t="s">
        <v>195</v>
      </c>
      <c r="C57" s="404">
        <f>SUM(C54:C56)</f>
        <v>236031693.84</v>
      </c>
      <c r="D57" s="125">
        <f>SUM(D54:D56)</f>
        <v>84935000</v>
      </c>
    </row>
    <row r="58" spans="1:5" ht="16.5" x14ac:dyDescent="0.3">
      <c r="A58" s="105" t="s">
        <v>196</v>
      </c>
      <c r="B58" s="116" t="s">
        <v>231</v>
      </c>
      <c r="C58" s="139"/>
      <c r="D58" s="123"/>
    </row>
    <row r="59" spans="1:5" ht="16.5" x14ac:dyDescent="0.3">
      <c r="A59" s="105" t="s">
        <v>198</v>
      </c>
      <c r="B59" s="67" t="s">
        <v>228</v>
      </c>
      <c r="C59" s="204">
        <v>0</v>
      </c>
      <c r="D59" s="123">
        <v>0</v>
      </c>
    </row>
    <row r="60" spans="1:5" ht="16.5" x14ac:dyDescent="0.3">
      <c r="A60" s="105" t="s">
        <v>199</v>
      </c>
      <c r="B60" s="67" t="s">
        <v>229</v>
      </c>
      <c r="C60" s="204">
        <v>0</v>
      </c>
      <c r="D60" s="123">
        <v>0</v>
      </c>
    </row>
    <row r="61" spans="1:5" ht="16.5" x14ac:dyDescent="0.3">
      <c r="A61" s="105" t="s">
        <v>201</v>
      </c>
      <c r="B61" s="67" t="s">
        <v>230</v>
      </c>
      <c r="C61" s="464">
        <f>+'[1]Balacnesheet P&amp;L'!$E$17+'[1]Balacnesheet P&amp;L'!$E$16</f>
        <v>-3504815.82</v>
      </c>
      <c r="D61" s="204">
        <v>73116000</v>
      </c>
    </row>
    <row r="62" spans="1:5" ht="17.25" thickBot="1" x14ac:dyDescent="0.35">
      <c r="A62" s="105"/>
      <c r="B62" s="116" t="s">
        <v>207</v>
      </c>
      <c r="C62" s="404">
        <f>SUM(C59:C61)</f>
        <v>-3504815.82</v>
      </c>
      <c r="D62" s="125">
        <f>SUM(D59:D61)</f>
        <v>73116000</v>
      </c>
    </row>
    <row r="63" spans="1:5" ht="16.5" x14ac:dyDescent="0.3">
      <c r="A63" s="112"/>
      <c r="B63" s="120" t="s">
        <v>232</v>
      </c>
      <c r="C63" s="411">
        <f>C57-C62</f>
        <v>239536509.66</v>
      </c>
      <c r="D63" s="213">
        <f>D57-D62</f>
        <v>11819000</v>
      </c>
    </row>
    <row r="64" spans="1:5" ht="16.5" x14ac:dyDescent="0.3">
      <c r="A64" s="105" t="s">
        <v>57</v>
      </c>
      <c r="B64" s="116" t="s">
        <v>233</v>
      </c>
      <c r="C64" s="204">
        <v>0</v>
      </c>
      <c r="D64" s="123">
        <v>0</v>
      </c>
    </row>
    <row r="65" spans="1:7" ht="16.5" x14ac:dyDescent="0.3">
      <c r="A65" s="105" t="s">
        <v>192</v>
      </c>
      <c r="B65" s="67" t="s">
        <v>575</v>
      </c>
      <c r="C65" s="204">
        <v>0</v>
      </c>
      <c r="D65" s="123">
        <v>0</v>
      </c>
    </row>
    <row r="66" spans="1:7" ht="16.5" x14ac:dyDescent="0.3">
      <c r="A66" s="105" t="s">
        <v>59</v>
      </c>
      <c r="B66" s="116" t="s">
        <v>234</v>
      </c>
      <c r="C66" s="404">
        <f>C51+C63+C64+C65</f>
        <v>206389588.00267172</v>
      </c>
      <c r="D66" s="125">
        <f>D51+D63+D64+D65</f>
        <v>9785000</v>
      </c>
    </row>
    <row r="67" spans="1:7" ht="16.5" x14ac:dyDescent="0.3">
      <c r="A67" s="105" t="s">
        <v>235</v>
      </c>
      <c r="B67" s="116" t="s">
        <v>236</v>
      </c>
      <c r="C67" s="139"/>
      <c r="D67" s="123"/>
    </row>
    <row r="68" spans="1:7" ht="16.5" x14ac:dyDescent="0.3">
      <c r="A68" s="105" t="s">
        <v>192</v>
      </c>
      <c r="B68" s="67" t="s">
        <v>237</v>
      </c>
      <c r="C68" s="204">
        <f>+'Form X'!C17+'Form V'!D29</f>
        <v>219291662</v>
      </c>
      <c r="D68" s="204">
        <v>9785000</v>
      </c>
    </row>
    <row r="69" spans="1:7" ht="16.5" x14ac:dyDescent="0.3">
      <c r="A69" s="105" t="s">
        <v>196</v>
      </c>
      <c r="B69" s="67" t="s">
        <v>238</v>
      </c>
      <c r="C69" s="204">
        <v>0</v>
      </c>
      <c r="D69" s="123">
        <v>0</v>
      </c>
    </row>
    <row r="70" spans="1:7" ht="16.5" x14ac:dyDescent="0.3">
      <c r="A70" s="105" t="s">
        <v>239</v>
      </c>
      <c r="B70" s="67" t="s">
        <v>240</v>
      </c>
      <c r="C70" s="204">
        <v>0</v>
      </c>
      <c r="D70" s="123">
        <v>0</v>
      </c>
    </row>
    <row r="71" spans="1:7" ht="16.5" x14ac:dyDescent="0.3">
      <c r="A71" s="105" t="s">
        <v>241</v>
      </c>
      <c r="B71" s="67" t="s">
        <v>242</v>
      </c>
      <c r="C71" s="204">
        <v>0</v>
      </c>
      <c r="D71" s="123">
        <v>0</v>
      </c>
    </row>
    <row r="72" spans="1:7" ht="16.5" x14ac:dyDescent="0.3">
      <c r="A72" s="105"/>
      <c r="B72" s="116" t="s">
        <v>243</v>
      </c>
      <c r="C72" s="404">
        <f>SUM(C68:C71)</f>
        <v>219291662</v>
      </c>
      <c r="D72" s="125">
        <f>SUM(D68:D71)</f>
        <v>9785000</v>
      </c>
    </row>
    <row r="73" spans="1:7" ht="16.5" x14ac:dyDescent="0.3">
      <c r="A73" s="105" t="s">
        <v>71</v>
      </c>
      <c r="B73" s="116" t="s">
        <v>244</v>
      </c>
      <c r="C73" s="404">
        <v>0</v>
      </c>
      <c r="D73" s="123">
        <v>0</v>
      </c>
    </row>
    <row r="74" spans="1:7" ht="16.5" x14ac:dyDescent="0.3">
      <c r="A74" s="105" t="s">
        <v>75</v>
      </c>
      <c r="B74" s="84" t="s">
        <v>245</v>
      </c>
      <c r="C74" s="404">
        <f>C66-C72-C73</f>
        <v>-12902073.997328281</v>
      </c>
      <c r="D74" s="125">
        <f>D66-D72-D73</f>
        <v>0</v>
      </c>
    </row>
    <row r="75" spans="1:7" ht="16.5" x14ac:dyDescent="0.3">
      <c r="A75" s="105" t="s">
        <v>246</v>
      </c>
      <c r="B75" s="116" t="s">
        <v>247</v>
      </c>
      <c r="C75" s="204">
        <f>+'[3]Balacnesheet P&amp;L'!$D$30</f>
        <v>24646771.629999999</v>
      </c>
      <c r="D75" s="464">
        <v>36782000</v>
      </c>
    </row>
    <row r="76" spans="1:7" ht="16.5" x14ac:dyDescent="0.3">
      <c r="A76" s="106" t="s">
        <v>248</v>
      </c>
      <c r="B76" s="121" t="s">
        <v>249</v>
      </c>
      <c r="C76" s="406">
        <f>SUM(C74:C75)</f>
        <v>11744697.632671718</v>
      </c>
      <c r="D76" s="214">
        <f>SUM(D74:D75)</f>
        <v>36782000</v>
      </c>
    </row>
    <row r="77" spans="1:7" ht="16.5" x14ac:dyDescent="0.3">
      <c r="A77" s="107"/>
      <c r="B77" s="114"/>
      <c r="C77" s="484"/>
    </row>
    <row r="78" spans="1:7" ht="16.5" x14ac:dyDescent="0.3">
      <c r="A78" s="107"/>
      <c r="B78" s="114"/>
      <c r="C78" s="143"/>
      <c r="D78" s="386"/>
    </row>
    <row r="79" spans="1:7" ht="16.5" x14ac:dyDescent="0.3">
      <c r="A79" s="107"/>
      <c r="B79" s="73"/>
      <c r="C79" s="144"/>
      <c r="D79" s="73"/>
      <c r="G79" s="10"/>
    </row>
    <row r="80" spans="1:7" ht="15" x14ac:dyDescent="0.25">
      <c r="A80" s="350" t="s">
        <v>678</v>
      </c>
      <c r="C80" s="143"/>
      <c r="D80" s="351" t="s">
        <v>606</v>
      </c>
    </row>
    <row r="81" spans="1:4" ht="15.75" x14ac:dyDescent="0.3">
      <c r="A81" s="114" t="s">
        <v>679</v>
      </c>
      <c r="C81" s="424"/>
      <c r="D81" s="425" t="s">
        <v>604</v>
      </c>
    </row>
    <row r="86" spans="1:4" ht="15" x14ac:dyDescent="0.25">
      <c r="A86" s="350" t="s">
        <v>650</v>
      </c>
      <c r="B86" s="7"/>
      <c r="C86" s="17"/>
      <c r="D86" s="449" t="s">
        <v>605</v>
      </c>
    </row>
    <row r="87" spans="1:4" ht="15" x14ac:dyDescent="0.25">
      <c r="A87" s="114" t="s">
        <v>480</v>
      </c>
      <c r="B87" s="7"/>
      <c r="C87" s="17"/>
      <c r="D87" s="352"/>
    </row>
    <row r="89" spans="1:4" ht="15" x14ac:dyDescent="0.25">
      <c r="D89" s="449"/>
    </row>
    <row r="90" spans="1:4" ht="15.75" x14ac:dyDescent="0.3">
      <c r="A90" s="34" t="s">
        <v>410</v>
      </c>
      <c r="D90" s="450"/>
    </row>
    <row r="91" spans="1:4" ht="15.75" x14ac:dyDescent="0.3">
      <c r="A91" s="255" t="s">
        <v>677</v>
      </c>
      <c r="D91" s="450"/>
    </row>
    <row r="92" spans="1:4" ht="15" x14ac:dyDescent="0.25">
      <c r="C92" s="412">
        <f>C76-'Form C (2)'!C23</f>
        <v>2.6717167347669601E-3</v>
      </c>
      <c r="D92" s="385">
        <f>D76-'Form C (2)'!D23</f>
        <v>0</v>
      </c>
    </row>
  </sheetData>
  <mergeCells count="2">
    <mergeCell ref="A2:D2"/>
    <mergeCell ref="A1:D1"/>
  </mergeCells>
  <phoneticPr fontId="6" type="noConversion"/>
  <pageMargins left="0.73" right="0.27" top="1" bottom="1" header="0.5" footer="0.5"/>
  <pageSetup paperSize="9" scale="77" orientation="portrait" horizontalDpi="4294967292" r:id="rId1"/>
  <headerFooter alignWithMargins="0"/>
  <rowBreaks count="2" manualBreakCount="2">
    <brk id="41" max="3" man="1"/>
    <brk id="92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topLeftCell="A19" zoomScale="85" zoomScaleNormal="100" zoomScaleSheetLayoutView="85" workbookViewId="0">
      <selection sqref="A1:D33"/>
    </sheetView>
  </sheetViews>
  <sheetFormatPr defaultRowHeight="14.25" x14ac:dyDescent="0.2"/>
  <cols>
    <col min="1" max="1" width="4.125" customWidth="1"/>
    <col min="2" max="2" width="49.625" style="14" customWidth="1"/>
    <col min="3" max="3" width="20.125" style="14" customWidth="1"/>
    <col min="4" max="4" width="20.875" style="5" customWidth="1"/>
  </cols>
  <sheetData>
    <row r="1" spans="1:5" ht="18.75" x14ac:dyDescent="0.3">
      <c r="A1" s="517" t="s">
        <v>381</v>
      </c>
      <c r="B1" s="517"/>
      <c r="C1" s="517"/>
      <c r="D1" s="517"/>
    </row>
    <row r="2" spans="1:5" ht="15" x14ac:dyDescent="0.25">
      <c r="A2" s="321"/>
      <c r="B2" s="321"/>
      <c r="C2" s="321"/>
      <c r="D2" s="321"/>
    </row>
    <row r="3" spans="1:5" ht="16.5" x14ac:dyDescent="0.3">
      <c r="A3" s="518" t="s">
        <v>382</v>
      </c>
      <c r="B3" s="518"/>
      <c r="C3" s="518"/>
      <c r="D3" s="518"/>
    </row>
    <row r="4" spans="1:5" ht="16.5" x14ac:dyDescent="0.3">
      <c r="A4" s="244"/>
      <c r="B4" s="244"/>
      <c r="C4" s="244"/>
      <c r="D4" s="218" t="s">
        <v>353</v>
      </c>
    </row>
    <row r="5" spans="1:5" ht="14.25" customHeight="1" x14ac:dyDescent="0.2">
      <c r="A5" s="528" t="s">
        <v>392</v>
      </c>
      <c r="B5" s="527" t="s">
        <v>286</v>
      </c>
      <c r="C5" s="391" t="s">
        <v>623</v>
      </c>
      <c r="D5" s="391" t="s">
        <v>623</v>
      </c>
      <c r="E5" s="6"/>
    </row>
    <row r="6" spans="1:5" ht="30.75" customHeight="1" x14ac:dyDescent="0.2">
      <c r="A6" s="529"/>
      <c r="B6" s="511"/>
      <c r="C6" s="395" t="s">
        <v>590</v>
      </c>
      <c r="D6" s="396" t="s">
        <v>592</v>
      </c>
    </row>
    <row r="7" spans="1:5" ht="16.5" customHeight="1" x14ac:dyDescent="0.3">
      <c r="A7" s="105">
        <v>1</v>
      </c>
      <c r="B7" s="137" t="s">
        <v>383</v>
      </c>
      <c r="C7" s="210">
        <f>'Form W1'!C34</f>
        <v>27660807.162499905</v>
      </c>
      <c r="D7" s="210">
        <f>'Form W1'!D34</f>
        <v>610963521.66666663</v>
      </c>
    </row>
    <row r="8" spans="1:5" ht="16.5" x14ac:dyDescent="0.3">
      <c r="A8" s="105"/>
      <c r="B8" s="132"/>
      <c r="C8" s="204"/>
      <c r="D8" s="210"/>
    </row>
    <row r="9" spans="1:5" ht="16.5" x14ac:dyDescent="0.3">
      <c r="A9" s="105"/>
      <c r="B9" s="137" t="s">
        <v>384</v>
      </c>
      <c r="C9" s="330">
        <v>0</v>
      </c>
      <c r="D9" s="210">
        <v>0</v>
      </c>
    </row>
    <row r="10" spans="1:5" ht="16.5" x14ac:dyDescent="0.3">
      <c r="A10" s="105"/>
      <c r="B10" s="132"/>
      <c r="C10" s="204"/>
      <c r="D10" s="210"/>
    </row>
    <row r="11" spans="1:5" ht="16.5" x14ac:dyDescent="0.3">
      <c r="A11" s="105">
        <v>2</v>
      </c>
      <c r="B11" s="132" t="s">
        <v>430</v>
      </c>
      <c r="C11" s="204">
        <f>'Calcu-ROI'!E32</f>
        <v>7573170</v>
      </c>
      <c r="D11" s="210">
        <v>1000000</v>
      </c>
    </row>
    <row r="12" spans="1:5" ht="16.5" x14ac:dyDescent="0.3">
      <c r="A12" s="105"/>
      <c r="B12" s="132"/>
      <c r="C12" s="204"/>
      <c r="D12" s="187"/>
    </row>
    <row r="13" spans="1:5" ht="49.5" x14ac:dyDescent="0.2">
      <c r="A13" s="113">
        <v>3</v>
      </c>
      <c r="B13" s="138" t="s">
        <v>385</v>
      </c>
      <c r="C13" s="362">
        <f>+'Form B'!B40-'Form B'!B34</f>
        <v>437438894.88250005</v>
      </c>
      <c r="D13" s="363">
        <f>'Form B'!D40-'Form B'!D34-'Form B'!D36</f>
        <v>474265000</v>
      </c>
    </row>
    <row r="14" spans="1:5" ht="16.5" x14ac:dyDescent="0.3">
      <c r="A14" s="105"/>
      <c r="B14" s="132"/>
      <c r="C14" s="204"/>
      <c r="D14" s="187"/>
    </row>
    <row r="15" spans="1:5" ht="16.5" x14ac:dyDescent="0.3">
      <c r="A15" s="105">
        <v>4</v>
      </c>
      <c r="B15" s="132" t="s">
        <v>386</v>
      </c>
      <c r="C15" s="204">
        <f>+'Form B'!B13</f>
        <v>4202397</v>
      </c>
      <c r="D15" s="210">
        <f>'Form B'!D13</f>
        <v>2040000</v>
      </c>
    </row>
    <row r="16" spans="1:5" ht="16.5" x14ac:dyDescent="0.3">
      <c r="A16" s="105"/>
      <c r="B16" s="132"/>
      <c r="C16" s="427"/>
      <c r="D16" s="427"/>
    </row>
    <row r="17" spans="1:4" ht="16.5" x14ac:dyDescent="0.3">
      <c r="A17" s="105">
        <v>5</v>
      </c>
      <c r="B17" s="139" t="s">
        <v>387</v>
      </c>
      <c r="C17" s="211">
        <f>C11+C13-C15</f>
        <v>440809667.88250005</v>
      </c>
      <c r="D17" s="211">
        <f>D11+D13-D15</f>
        <v>473225000</v>
      </c>
    </row>
    <row r="18" spans="1:4" ht="16.5" x14ac:dyDescent="0.3">
      <c r="A18" s="136"/>
      <c r="B18" s="133"/>
      <c r="C18" s="133"/>
      <c r="D18" s="87"/>
    </row>
    <row r="19" spans="1:4" ht="16.5" x14ac:dyDescent="0.3">
      <c r="A19" s="63"/>
      <c r="B19" s="134"/>
      <c r="C19" s="134"/>
      <c r="D19" s="88"/>
    </row>
    <row r="20" spans="1:4" ht="16.5" x14ac:dyDescent="0.3">
      <c r="A20" s="63"/>
      <c r="B20" s="134"/>
      <c r="C20" s="114"/>
      <c r="D20" s="88"/>
    </row>
    <row r="21" spans="1:4" ht="16.5" x14ac:dyDescent="0.3">
      <c r="A21" s="63"/>
      <c r="B21" s="134"/>
      <c r="C21" s="114"/>
      <c r="D21" s="88"/>
    </row>
    <row r="22" spans="1:4" ht="15" x14ac:dyDescent="0.25">
      <c r="A22" s="350" t="s">
        <v>678</v>
      </c>
      <c r="D22" s="351" t="s">
        <v>606</v>
      </c>
    </row>
    <row r="23" spans="1:4" ht="15" x14ac:dyDescent="0.25">
      <c r="A23" s="114" t="s">
        <v>679</v>
      </c>
      <c r="D23" s="352" t="s">
        <v>604</v>
      </c>
    </row>
    <row r="28" spans="1:4" ht="15" x14ac:dyDescent="0.25">
      <c r="A28" s="350" t="s">
        <v>650</v>
      </c>
      <c r="B28" s="7"/>
      <c r="C28" s="17"/>
      <c r="D28" s="449" t="s">
        <v>605</v>
      </c>
    </row>
    <row r="29" spans="1:4" ht="15" x14ac:dyDescent="0.25">
      <c r="A29" s="114" t="s">
        <v>480</v>
      </c>
      <c r="B29" s="7"/>
      <c r="D29" s="449"/>
    </row>
    <row r="30" spans="1:4" ht="15" x14ac:dyDescent="0.25">
      <c r="D30" s="449"/>
    </row>
    <row r="31" spans="1:4" ht="15.75" x14ac:dyDescent="0.3">
      <c r="D31" s="450"/>
    </row>
    <row r="32" spans="1:4" ht="15.75" x14ac:dyDescent="0.3">
      <c r="A32" s="34" t="s">
        <v>410</v>
      </c>
      <c r="D32" s="450"/>
    </row>
    <row r="33" spans="1:1" ht="15" x14ac:dyDescent="0.25">
      <c r="A33" s="255" t="s">
        <v>677</v>
      </c>
    </row>
  </sheetData>
  <mergeCells count="4">
    <mergeCell ref="A1:D1"/>
    <mergeCell ref="A3:D3"/>
    <mergeCell ref="B5:B6"/>
    <mergeCell ref="A5:A6"/>
  </mergeCells>
  <phoneticPr fontId="6" type="noConversion"/>
  <pageMargins left="0.75" right="0.75" top="1" bottom="1" header="0.5" footer="0.5"/>
  <pageSetup scale="88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G34"/>
  <sheetViews>
    <sheetView topLeftCell="A19" workbookViewId="0">
      <selection activeCell="B2" sqref="B2:E32"/>
    </sheetView>
  </sheetViews>
  <sheetFormatPr defaultRowHeight="14.25" x14ac:dyDescent="0.2"/>
  <cols>
    <col min="2" max="2" width="5.75" customWidth="1"/>
    <col min="3" max="3" width="25.125" customWidth="1"/>
    <col min="4" max="4" width="18.375" style="18" customWidth="1"/>
    <col min="5" max="5" width="16.75" style="18" customWidth="1"/>
    <col min="6" max="6" width="14.375" bestFit="1" customWidth="1"/>
  </cols>
  <sheetData>
    <row r="2" spans="2:6" ht="16.5" x14ac:dyDescent="0.3">
      <c r="B2" s="141" t="s">
        <v>420</v>
      </c>
      <c r="C2" s="63"/>
      <c r="E2" s="490" t="s">
        <v>623</v>
      </c>
    </row>
    <row r="3" spans="2:6" ht="16.5" x14ac:dyDescent="0.3">
      <c r="B3" s="63"/>
      <c r="C3" s="63"/>
      <c r="D3" s="89"/>
      <c r="E3" s="89"/>
    </row>
    <row r="4" spans="2:6" ht="16.5" x14ac:dyDescent="0.3">
      <c r="B4" s="146" t="s">
        <v>421</v>
      </c>
      <c r="C4" s="146"/>
      <c r="D4" s="146" t="s">
        <v>422</v>
      </c>
      <c r="E4" s="207">
        <f>'Form B'!B19/12</f>
        <v>1165779.1666666667</v>
      </c>
    </row>
    <row r="5" spans="2:6" ht="16.5" x14ac:dyDescent="0.3">
      <c r="B5" s="73" t="s">
        <v>423</v>
      </c>
      <c r="C5" s="73"/>
      <c r="D5" s="73" t="s">
        <v>424</v>
      </c>
      <c r="E5" s="208">
        <f>'Form C (2)'!C6*1%</f>
        <v>3239222.1353999996</v>
      </c>
    </row>
    <row r="6" spans="2:6" ht="33" x14ac:dyDescent="0.3">
      <c r="B6" s="73" t="s">
        <v>425</v>
      </c>
      <c r="C6" s="73"/>
      <c r="D6" s="142" t="s">
        <v>426</v>
      </c>
      <c r="E6" s="208">
        <f>'Form G'!E25/6</f>
        <v>69479583.928333327</v>
      </c>
    </row>
    <row r="7" spans="2:6" ht="16.5" x14ac:dyDescent="0.3">
      <c r="B7" s="73"/>
      <c r="C7" s="73"/>
      <c r="D7" s="73"/>
      <c r="E7" s="73"/>
    </row>
    <row r="8" spans="2:6" ht="16.5" x14ac:dyDescent="0.3">
      <c r="B8" s="143" t="s">
        <v>427</v>
      </c>
      <c r="C8" s="143"/>
      <c r="D8" s="73"/>
      <c r="E8" s="209">
        <f>SUM(E4:E7)</f>
        <v>73884585.230399996</v>
      </c>
    </row>
    <row r="9" spans="2:6" ht="16.5" x14ac:dyDescent="0.3">
      <c r="B9" s="73"/>
      <c r="C9" s="73"/>
      <c r="D9" s="73"/>
      <c r="E9" s="208"/>
    </row>
    <row r="10" spans="2:6" ht="16.5" x14ac:dyDescent="0.3">
      <c r="B10" s="143" t="s">
        <v>428</v>
      </c>
      <c r="C10" s="143"/>
      <c r="D10" s="73"/>
      <c r="E10" s="209">
        <f>ROUND(E8*10.25%,0)</f>
        <v>7573170</v>
      </c>
      <c r="F10" s="10"/>
    </row>
    <row r="11" spans="2:6" ht="16.5" x14ac:dyDescent="0.3">
      <c r="B11" s="143" t="s">
        <v>429</v>
      </c>
      <c r="C11" s="143"/>
      <c r="D11" s="73"/>
      <c r="E11" s="73"/>
    </row>
    <row r="12" spans="2:6" ht="16.5" x14ac:dyDescent="0.3">
      <c r="B12" s="63"/>
      <c r="C12" s="63"/>
      <c r="D12" s="208"/>
      <c r="E12" s="208"/>
    </row>
    <row r="13" spans="2:6" ht="16.5" x14ac:dyDescent="0.3">
      <c r="B13" s="63"/>
      <c r="C13" s="63"/>
      <c r="D13" s="208"/>
      <c r="E13" s="208"/>
    </row>
    <row r="14" spans="2:6" ht="16.5" x14ac:dyDescent="0.3">
      <c r="B14" s="63"/>
      <c r="C14" s="63"/>
      <c r="D14" s="208"/>
      <c r="E14" s="208"/>
    </row>
    <row r="15" spans="2:6" ht="16.5" x14ac:dyDescent="0.3">
      <c r="B15" s="141" t="s">
        <v>418</v>
      </c>
      <c r="C15" s="63"/>
    </row>
    <row r="16" spans="2:6" ht="16.5" x14ac:dyDescent="0.3">
      <c r="C16" s="63"/>
      <c r="D16" s="63"/>
      <c r="E16" s="63"/>
    </row>
    <row r="17" spans="2:7" ht="16.5" x14ac:dyDescent="0.3">
      <c r="B17" s="387" t="s">
        <v>578</v>
      </c>
      <c r="C17" s="63" t="s">
        <v>583</v>
      </c>
      <c r="D17" s="63"/>
      <c r="E17" s="208">
        <f>'Form E'!C7</f>
        <v>27660807.162499905</v>
      </c>
    </row>
    <row r="18" spans="2:7" ht="16.5" x14ac:dyDescent="0.3">
      <c r="B18" s="387" t="s">
        <v>435</v>
      </c>
      <c r="C18" s="63" t="s">
        <v>419</v>
      </c>
      <c r="D18" s="63"/>
      <c r="E18" s="208">
        <f>ROUND(E17*0.3,0)</f>
        <v>8298242</v>
      </c>
      <c r="G18" s="10"/>
    </row>
    <row r="19" spans="2:7" ht="16.5" x14ac:dyDescent="0.3">
      <c r="B19" s="387"/>
      <c r="C19" s="145"/>
      <c r="D19" s="63"/>
      <c r="E19" s="63"/>
    </row>
    <row r="20" spans="2:7" ht="16.5" x14ac:dyDescent="0.3">
      <c r="B20" s="387" t="s">
        <v>437</v>
      </c>
      <c r="C20" s="63" t="s">
        <v>576</v>
      </c>
      <c r="D20" s="63"/>
      <c r="E20" s="208">
        <f>'Form C'!C13</f>
        <v>-33697058.500000015</v>
      </c>
      <c r="G20" s="10"/>
    </row>
    <row r="21" spans="2:7" ht="15" x14ac:dyDescent="0.25">
      <c r="B21" s="387" t="s">
        <v>441</v>
      </c>
      <c r="C21" s="426" t="s">
        <v>577</v>
      </c>
      <c r="D21" s="82"/>
      <c r="E21" s="209">
        <f>+E20</f>
        <v>-33697058.500000015</v>
      </c>
      <c r="G21" s="10"/>
    </row>
    <row r="22" spans="2:7" ht="15" x14ac:dyDescent="0.25">
      <c r="B22" s="387"/>
      <c r="C22" s="354"/>
      <c r="D22" s="82"/>
      <c r="E22" s="82"/>
      <c r="G22" s="10"/>
    </row>
    <row r="23" spans="2:7" ht="16.5" x14ac:dyDescent="0.3">
      <c r="B23" s="387" t="s">
        <v>437</v>
      </c>
      <c r="C23" s="82" t="s">
        <v>579</v>
      </c>
      <c r="D23" s="63"/>
      <c r="E23" s="209">
        <v>0</v>
      </c>
    </row>
    <row r="24" spans="2:7" ht="16.5" x14ac:dyDescent="0.3">
      <c r="B24" s="387"/>
      <c r="C24" s="63"/>
      <c r="D24" s="63"/>
      <c r="E24" s="63"/>
    </row>
    <row r="25" spans="2:7" ht="16.5" x14ac:dyDescent="0.3">
      <c r="B25" s="387" t="s">
        <v>443</v>
      </c>
      <c r="C25" s="63" t="s">
        <v>580</v>
      </c>
      <c r="D25" s="63"/>
      <c r="E25" s="208">
        <v>0</v>
      </c>
    </row>
    <row r="26" spans="2:7" ht="16.5" x14ac:dyDescent="0.3">
      <c r="B26" s="387"/>
      <c r="C26" s="63"/>
      <c r="D26" s="89"/>
      <c r="E26" s="89"/>
    </row>
    <row r="27" spans="2:7" ht="16.5" x14ac:dyDescent="0.3">
      <c r="B27" s="387" t="s">
        <v>445</v>
      </c>
      <c r="C27" s="82" t="s">
        <v>603</v>
      </c>
      <c r="D27" s="89"/>
      <c r="E27" s="209">
        <f>ROUND(E25*13%,0)</f>
        <v>0</v>
      </c>
    </row>
    <row r="28" spans="2:7" ht="16.5" x14ac:dyDescent="0.3">
      <c r="B28" s="387"/>
      <c r="C28" s="63"/>
      <c r="D28" s="89"/>
      <c r="E28" s="89"/>
    </row>
    <row r="29" spans="2:7" ht="16.5" customHeight="1" x14ac:dyDescent="0.25">
      <c r="B29" s="387" t="s">
        <v>447</v>
      </c>
      <c r="C29" s="530" t="s">
        <v>581</v>
      </c>
      <c r="D29" s="530"/>
      <c r="E29" s="209">
        <f>E10</f>
        <v>7573170</v>
      </c>
    </row>
    <row r="30" spans="2:7" ht="20.25" customHeight="1" x14ac:dyDescent="0.25">
      <c r="B30" s="387"/>
      <c r="C30" s="530"/>
      <c r="D30" s="530"/>
      <c r="E30" s="389"/>
    </row>
    <row r="31" spans="2:7" ht="20.25" customHeight="1" x14ac:dyDescent="0.25">
      <c r="B31" s="387"/>
      <c r="C31" s="389"/>
      <c r="D31" s="389"/>
      <c r="E31" s="389"/>
    </row>
    <row r="32" spans="2:7" ht="16.5" x14ac:dyDescent="0.3">
      <c r="B32" s="387"/>
      <c r="C32" s="82" t="s">
        <v>582</v>
      </c>
      <c r="D32" s="63"/>
      <c r="E32" s="209">
        <f>+E23+E27+E29</f>
        <v>7573170</v>
      </c>
    </row>
    <row r="33" spans="2:5" ht="16.5" x14ac:dyDescent="0.3">
      <c r="B33" s="387"/>
      <c r="C33" s="63"/>
      <c r="D33" s="63"/>
      <c r="E33" s="63"/>
    </row>
    <row r="34" spans="2:5" ht="16.5" x14ac:dyDescent="0.3">
      <c r="B34" s="388"/>
      <c r="C34" s="63"/>
      <c r="D34" s="89"/>
      <c r="E34" s="89"/>
    </row>
  </sheetData>
  <mergeCells count="1">
    <mergeCell ref="C29:D30"/>
  </mergeCells>
  <phoneticPr fontId="6" type="noConversion"/>
  <pageMargins left="1.01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view="pageBreakPreview" topLeftCell="A19" zoomScaleNormal="85" zoomScaleSheetLayoutView="100" workbookViewId="0">
      <selection activeCell="A2" sqref="A2:M34"/>
    </sheetView>
  </sheetViews>
  <sheetFormatPr defaultRowHeight="14.25" x14ac:dyDescent="0.2"/>
  <cols>
    <col min="1" max="1" width="5.875" bestFit="1" customWidth="1"/>
    <col min="2" max="2" width="6.5" bestFit="1" customWidth="1"/>
    <col min="3" max="3" width="13.75" bestFit="1" customWidth="1"/>
    <col min="4" max="4" width="14.25" bestFit="1" customWidth="1"/>
    <col min="5" max="5" width="15.375" bestFit="1" customWidth="1"/>
    <col min="6" max="6" width="9.25" bestFit="1" customWidth="1"/>
    <col min="7" max="7" width="8.5" bestFit="1" customWidth="1"/>
    <col min="8" max="8" width="12.875" customWidth="1"/>
    <col min="9" max="9" width="15.375" bestFit="1" customWidth="1"/>
    <col min="10" max="10" width="14.25" bestFit="1" customWidth="1"/>
    <col min="11" max="11" width="16.5" customWidth="1"/>
    <col min="12" max="12" width="15.375" bestFit="1" customWidth="1"/>
    <col min="13" max="13" width="8.625" bestFit="1" customWidth="1"/>
    <col min="15" max="15" width="10.25" bestFit="1" customWidth="1"/>
    <col min="16" max="16" width="9.75" customWidth="1"/>
  </cols>
  <sheetData>
    <row r="2" spans="1:16" ht="18.75" x14ac:dyDescent="0.3">
      <c r="A2" s="508" t="s">
        <v>4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</row>
    <row r="3" spans="1:16" ht="16.5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6" ht="16.5" x14ac:dyDescent="0.3">
      <c r="A4" s="506" t="s">
        <v>624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</row>
    <row r="5" spans="1:16" ht="17.25" thickBot="1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ht="17.25" thickBot="1" x14ac:dyDescent="0.35">
      <c r="A6" s="147" t="s">
        <v>27</v>
      </c>
      <c r="B6" s="147" t="s">
        <v>28</v>
      </c>
      <c r="C6" s="93" t="s">
        <v>29</v>
      </c>
      <c r="D6" s="148" t="s">
        <v>31</v>
      </c>
      <c r="E6" s="531" t="s">
        <v>33</v>
      </c>
      <c r="F6" s="531"/>
      <c r="G6" s="531"/>
      <c r="H6" s="531"/>
      <c r="I6" s="531"/>
      <c r="J6" s="532" t="s">
        <v>43</v>
      </c>
      <c r="K6" s="533"/>
      <c r="L6" s="533"/>
      <c r="M6" s="534"/>
    </row>
    <row r="7" spans="1:16" ht="16.5" x14ac:dyDescent="0.3">
      <c r="A7" s="149"/>
      <c r="B7" s="149"/>
      <c r="C7" s="94" t="s">
        <v>30</v>
      </c>
      <c r="D7" s="95" t="s">
        <v>32</v>
      </c>
      <c r="E7" s="150" t="s">
        <v>34</v>
      </c>
      <c r="F7" s="93" t="s">
        <v>35</v>
      </c>
      <c r="G7" s="150" t="s">
        <v>586</v>
      </c>
      <c r="H7" s="93" t="s">
        <v>37</v>
      </c>
      <c r="I7" s="148" t="s">
        <v>38</v>
      </c>
      <c r="J7" s="147" t="s">
        <v>39</v>
      </c>
      <c r="K7" s="93" t="s">
        <v>40</v>
      </c>
      <c r="L7" s="93" t="s">
        <v>38</v>
      </c>
      <c r="M7" s="148" t="s">
        <v>41</v>
      </c>
    </row>
    <row r="8" spans="1:16" ht="16.5" x14ac:dyDescent="0.3">
      <c r="A8" s="149"/>
      <c r="B8" s="149"/>
      <c r="C8" s="94"/>
      <c r="D8" s="95"/>
      <c r="E8" s="73" t="s">
        <v>5</v>
      </c>
      <c r="F8" s="94" t="s">
        <v>36</v>
      </c>
      <c r="G8" s="73" t="s">
        <v>587</v>
      </c>
      <c r="H8" s="94" t="s">
        <v>5</v>
      </c>
      <c r="I8" s="95" t="s">
        <v>5</v>
      </c>
      <c r="J8" s="149" t="s">
        <v>5</v>
      </c>
      <c r="K8" s="94" t="s">
        <v>5</v>
      </c>
      <c r="L8" s="94"/>
      <c r="M8" s="95" t="s">
        <v>42</v>
      </c>
    </row>
    <row r="9" spans="1:16" ht="17.25" thickBot="1" x14ac:dyDescent="0.35">
      <c r="A9" s="149"/>
      <c r="B9" s="97"/>
      <c r="C9" s="96"/>
      <c r="D9" s="99"/>
      <c r="E9" s="98"/>
      <c r="F9" s="96"/>
      <c r="G9" s="98"/>
      <c r="H9" s="96" t="s">
        <v>595</v>
      </c>
      <c r="I9" s="99"/>
      <c r="J9" s="97"/>
      <c r="K9" s="96"/>
      <c r="L9" s="96"/>
      <c r="M9" s="99"/>
    </row>
    <row r="10" spans="1:16" ht="16.5" x14ac:dyDescent="0.3">
      <c r="A10" s="93"/>
      <c r="B10" s="93"/>
      <c r="C10" s="73"/>
      <c r="D10" s="93"/>
      <c r="E10" s="73"/>
      <c r="F10" s="93"/>
      <c r="G10" s="73"/>
      <c r="H10" s="93"/>
      <c r="I10" s="73"/>
      <c r="J10" s="93"/>
      <c r="K10" s="93"/>
      <c r="L10" s="93"/>
      <c r="M10" s="95"/>
      <c r="O10">
        <v>307272722</v>
      </c>
    </row>
    <row r="11" spans="1:16" s="372" customFormat="1" ht="17.25" thickBot="1" x14ac:dyDescent="0.35">
      <c r="A11" s="371"/>
      <c r="B11" s="371" t="s">
        <v>44</v>
      </c>
      <c r="C11" s="399">
        <v>65411146</v>
      </c>
      <c r="D11" s="418">
        <v>67708200.025000006</v>
      </c>
      <c r="E11" s="419">
        <v>313724843.36750001</v>
      </c>
      <c r="F11" s="369">
        <v>0</v>
      </c>
      <c r="G11" s="370">
        <v>0</v>
      </c>
      <c r="H11" s="368">
        <f>9749860+1067692+1728669</f>
        <v>12546221</v>
      </c>
      <c r="I11" s="368">
        <f>SUM(E11:H11)</f>
        <v>326271064.36750001</v>
      </c>
      <c r="J11" s="368">
        <f>D11</f>
        <v>67708200.025000006</v>
      </c>
      <c r="K11" s="368">
        <f>I11</f>
        <v>326271064.36750001</v>
      </c>
      <c r="L11" s="368">
        <f>SUM(J11:K11)</f>
        <v>393979264.39250004</v>
      </c>
      <c r="M11" s="415">
        <f>L11/C11</f>
        <v>6.0231212642643506</v>
      </c>
    </row>
    <row r="12" spans="1:16" ht="16.5" x14ac:dyDescent="0.3">
      <c r="A12" s="73" t="s">
        <v>608</v>
      </c>
      <c r="B12" s="73"/>
      <c r="C12" s="73"/>
      <c r="D12" s="331"/>
      <c r="E12" s="331"/>
      <c r="F12" s="144"/>
      <c r="G12" s="144"/>
      <c r="H12" s="144"/>
      <c r="I12" s="331"/>
      <c r="J12" s="331"/>
      <c r="K12" s="331"/>
      <c r="L12" s="331"/>
      <c r="M12" s="332"/>
      <c r="P12" s="440"/>
    </row>
    <row r="13" spans="1:16" ht="16.5" x14ac:dyDescent="0.3">
      <c r="A13" s="73"/>
      <c r="B13" s="73"/>
      <c r="C13" s="73"/>
      <c r="D13" s="331"/>
      <c r="E13" s="331"/>
      <c r="F13" s="144"/>
      <c r="G13" s="144"/>
      <c r="H13" s="144"/>
      <c r="I13" s="331"/>
      <c r="J13" s="331"/>
      <c r="K13" s="331"/>
      <c r="L13" s="331"/>
      <c r="M13" s="332"/>
    </row>
    <row r="14" spans="1:16" ht="16.5" x14ac:dyDescent="0.3">
      <c r="A14" s="506" t="s">
        <v>651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</row>
    <row r="15" spans="1:16" ht="17.25" thickBot="1" x14ac:dyDescent="0.3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6" ht="17.25" thickBot="1" x14ac:dyDescent="0.35">
      <c r="A16" s="147" t="s">
        <v>27</v>
      </c>
      <c r="B16" s="147" t="s">
        <v>28</v>
      </c>
      <c r="C16" s="93" t="s">
        <v>29</v>
      </c>
      <c r="D16" s="148" t="s">
        <v>31</v>
      </c>
      <c r="E16" s="531" t="s">
        <v>33</v>
      </c>
      <c r="F16" s="531"/>
      <c r="G16" s="531"/>
      <c r="H16" s="531"/>
      <c r="I16" s="531"/>
      <c r="J16" s="532" t="s">
        <v>43</v>
      </c>
      <c r="K16" s="533"/>
      <c r="L16" s="533"/>
      <c r="M16" s="534"/>
    </row>
    <row r="17" spans="1:13" ht="16.5" x14ac:dyDescent="0.3">
      <c r="A17" s="149"/>
      <c r="B17" s="149"/>
      <c r="C17" s="94" t="s">
        <v>30</v>
      </c>
      <c r="D17" s="95" t="s">
        <v>32</v>
      </c>
      <c r="E17" s="150" t="s">
        <v>34</v>
      </c>
      <c r="F17" s="93" t="s">
        <v>35</v>
      </c>
      <c r="G17" s="150" t="s">
        <v>586</v>
      </c>
      <c r="H17" s="93" t="s">
        <v>37</v>
      </c>
      <c r="I17" s="148" t="s">
        <v>38</v>
      </c>
      <c r="J17" s="147" t="s">
        <v>39</v>
      </c>
      <c r="K17" s="93" t="s">
        <v>40</v>
      </c>
      <c r="L17" s="93" t="s">
        <v>38</v>
      </c>
      <c r="M17" s="148" t="s">
        <v>41</v>
      </c>
    </row>
    <row r="18" spans="1:13" ht="17.25" thickBot="1" x14ac:dyDescent="0.35">
      <c r="A18" s="149"/>
      <c r="B18" s="97"/>
      <c r="C18" s="96"/>
      <c r="D18" s="99"/>
      <c r="E18" s="98" t="s">
        <v>5</v>
      </c>
      <c r="F18" s="96" t="s">
        <v>36</v>
      </c>
      <c r="G18" s="98" t="s">
        <v>587</v>
      </c>
      <c r="H18" s="96" t="s">
        <v>5</v>
      </c>
      <c r="I18" s="99" t="s">
        <v>5</v>
      </c>
      <c r="J18" s="97" t="s">
        <v>5</v>
      </c>
      <c r="K18" s="96" t="s">
        <v>5</v>
      </c>
      <c r="L18" s="96"/>
      <c r="M18" s="99" t="s">
        <v>42</v>
      </c>
    </row>
    <row r="19" spans="1:13" ht="16.5" x14ac:dyDescent="0.3">
      <c r="A19" s="93"/>
      <c r="B19" s="93"/>
      <c r="C19" s="73"/>
      <c r="D19" s="93"/>
      <c r="E19" s="73"/>
      <c r="F19" s="93"/>
      <c r="G19" s="73"/>
      <c r="H19" s="93"/>
      <c r="I19" s="73"/>
      <c r="J19" s="93"/>
      <c r="K19" s="93"/>
      <c r="L19" s="93"/>
      <c r="M19" s="95"/>
    </row>
    <row r="20" spans="1:13" ht="17.25" thickBot="1" x14ac:dyDescent="0.35">
      <c r="A20" s="96"/>
      <c r="B20" s="96" t="s">
        <v>44</v>
      </c>
      <c r="C20" s="399">
        <v>81755861</v>
      </c>
      <c r="D20" s="492">
        <v>90180000</v>
      </c>
      <c r="E20" s="492">
        <f>417203000-D20</f>
        <v>327023000</v>
      </c>
      <c r="F20" s="369">
        <v>0</v>
      </c>
      <c r="G20" s="370">
        <v>0</v>
      </c>
      <c r="H20" s="369">
        <v>0</v>
      </c>
      <c r="I20" s="368">
        <f>SUM(E20:H20)</f>
        <v>327023000</v>
      </c>
      <c r="J20" s="368">
        <f>D20</f>
        <v>90180000</v>
      </c>
      <c r="K20" s="368">
        <f>I20</f>
        <v>327023000</v>
      </c>
      <c r="L20" s="368">
        <f>SUM(J20:K20)</f>
        <v>417203000</v>
      </c>
      <c r="M20" s="415">
        <f>L20/C20</f>
        <v>5.1030347536796166</v>
      </c>
    </row>
    <row r="21" spans="1:13" ht="16.5" x14ac:dyDescent="0.3">
      <c r="A21" s="73" t="s">
        <v>588</v>
      </c>
      <c r="B21" s="63"/>
      <c r="C21" s="63"/>
      <c r="D21" s="349"/>
      <c r="E21" s="349"/>
      <c r="F21" s="63"/>
      <c r="G21" s="63"/>
      <c r="H21" s="63"/>
      <c r="I21" s="63"/>
      <c r="J21" s="63"/>
      <c r="K21" s="63"/>
      <c r="L21" s="63"/>
      <c r="M21" s="63"/>
    </row>
    <row r="22" spans="1:13" ht="16.5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 ht="16.5" x14ac:dyDescent="0.3">
      <c r="B23" s="63"/>
      <c r="C23" s="63"/>
      <c r="D23" s="63"/>
      <c r="E23" s="63"/>
      <c r="F23" s="63"/>
      <c r="G23" s="63"/>
      <c r="H23" s="63"/>
      <c r="I23" s="63"/>
      <c r="J23" s="63"/>
      <c r="L23" s="63"/>
      <c r="M23" s="351" t="s">
        <v>606</v>
      </c>
    </row>
    <row r="24" spans="1:13" ht="16.5" x14ac:dyDescent="0.3">
      <c r="A24" s="350" t="s">
        <v>678</v>
      </c>
      <c r="B24" s="63"/>
      <c r="C24" s="63"/>
      <c r="D24" s="63"/>
      <c r="E24" s="63"/>
      <c r="F24" s="63"/>
      <c r="G24" s="63"/>
      <c r="H24" s="63"/>
      <c r="I24" s="353"/>
      <c r="J24" s="63"/>
      <c r="L24" s="63"/>
      <c r="M24" s="352" t="s">
        <v>604</v>
      </c>
    </row>
    <row r="25" spans="1:13" ht="15" x14ac:dyDescent="0.25">
      <c r="A25" s="114" t="s">
        <v>679</v>
      </c>
      <c r="I25" s="354"/>
    </row>
    <row r="26" spans="1:13" ht="15" x14ac:dyDescent="0.25">
      <c r="A26" s="114"/>
      <c r="I26" s="354"/>
    </row>
    <row r="27" spans="1:13" ht="15" x14ac:dyDescent="0.25">
      <c r="A27" s="114"/>
      <c r="I27" s="354"/>
    </row>
    <row r="28" spans="1:13" ht="15" x14ac:dyDescent="0.25">
      <c r="A28" s="114"/>
      <c r="I28" s="354"/>
    </row>
    <row r="29" spans="1:13" ht="15" x14ac:dyDescent="0.25">
      <c r="A29" s="350" t="s">
        <v>650</v>
      </c>
      <c r="B29" s="7"/>
      <c r="C29" s="17"/>
      <c r="M29" s="449" t="s">
        <v>605</v>
      </c>
    </row>
    <row r="30" spans="1:13" ht="15" x14ac:dyDescent="0.25">
      <c r="A30" s="114" t="s">
        <v>480</v>
      </c>
      <c r="B30" s="7"/>
      <c r="C30" s="17"/>
      <c r="M30" s="449"/>
    </row>
    <row r="31" spans="1:13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49"/>
    </row>
    <row r="32" spans="1:13" ht="15.75" x14ac:dyDescent="0.3">
      <c r="A32" s="1"/>
      <c r="B32" s="1"/>
      <c r="C32" s="1"/>
      <c r="D32" s="11"/>
      <c r="E32" s="11"/>
      <c r="F32" s="1"/>
      <c r="G32" s="1"/>
      <c r="H32" s="1"/>
      <c r="I32" s="11"/>
      <c r="J32" s="1"/>
      <c r="K32" s="1"/>
      <c r="L32" s="1"/>
      <c r="M32" s="450"/>
    </row>
    <row r="33" spans="1:13" ht="15.75" x14ac:dyDescent="0.3">
      <c r="A33" s="34" t="s">
        <v>410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50"/>
    </row>
    <row r="34" spans="1:13" ht="15" x14ac:dyDescent="0.25">
      <c r="A34" s="255" t="s">
        <v>677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7">
    <mergeCell ref="E16:I16"/>
    <mergeCell ref="J16:M16"/>
    <mergeCell ref="A2:M2"/>
    <mergeCell ref="A14:M14"/>
    <mergeCell ref="A4:M4"/>
    <mergeCell ref="E6:I6"/>
    <mergeCell ref="J6:M6"/>
  </mergeCells>
  <phoneticPr fontId="0" type="noConversion"/>
  <printOptions horizontalCentered="1" verticalCentered="1"/>
  <pageMargins left="0.74803149606299213" right="0.74803149606299213" top="0.98425196850393704" bottom="0.87" header="0.51181102362204722" footer="0.51181102362204722"/>
  <pageSetup paperSize="9" scale="74" orientation="landscape" horizontalDpi="4294967292" r:id="rId1"/>
  <headerFooter alignWithMargins="0"/>
  <rowBreaks count="1" manualBreakCount="1">
    <brk id="34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view="pageBreakPreview" zoomScale="85" zoomScaleNormal="100" zoomScaleSheetLayoutView="100" workbookViewId="0">
      <selection activeCell="D13" sqref="D13"/>
    </sheetView>
  </sheetViews>
  <sheetFormatPr defaultRowHeight="14.25" x14ac:dyDescent="0.2"/>
  <cols>
    <col min="1" max="1" width="4.5" customWidth="1"/>
    <col min="2" max="2" width="34.75" customWidth="1"/>
    <col min="3" max="3" width="12.375" bestFit="1" customWidth="1"/>
    <col min="4" max="4" width="13.75" bestFit="1" customWidth="1"/>
    <col min="5" max="5" width="15.375" bestFit="1" customWidth="1"/>
    <col min="6" max="6" width="11.375" bestFit="1" customWidth="1"/>
    <col min="7" max="7" width="10.75" bestFit="1" customWidth="1"/>
    <col min="8" max="8" width="16.375" bestFit="1" customWidth="1"/>
    <col min="9" max="9" width="15.375" bestFit="1" customWidth="1"/>
    <col min="10" max="10" width="11.375" bestFit="1" customWidth="1"/>
    <col min="12" max="12" width="9.25" bestFit="1" customWidth="1"/>
  </cols>
  <sheetData>
    <row r="1" spans="1:14" ht="18.75" x14ac:dyDescent="0.3">
      <c r="A1" s="536" t="s">
        <v>6</v>
      </c>
      <c r="B1" s="536"/>
      <c r="C1" s="536"/>
      <c r="D1" s="536"/>
      <c r="E1" s="536"/>
      <c r="F1" s="536"/>
      <c r="G1" s="536"/>
      <c r="H1" s="536"/>
      <c r="I1" s="536"/>
      <c r="J1" s="536"/>
    </row>
    <row r="2" spans="1:14" ht="16.5" x14ac:dyDescent="0.3">
      <c r="A2" s="73"/>
      <c r="B2" s="73"/>
      <c r="C2" s="73"/>
      <c r="D2" s="73"/>
      <c r="E2" s="73"/>
      <c r="F2" s="73"/>
    </row>
    <row r="3" spans="1:14" ht="16.5" x14ac:dyDescent="0.3">
      <c r="A3" s="537" t="s">
        <v>391</v>
      </c>
      <c r="B3" s="537"/>
      <c r="C3" s="537"/>
      <c r="D3" s="537"/>
      <c r="E3" s="537"/>
      <c r="F3" s="537"/>
      <c r="G3" s="537"/>
      <c r="H3" s="537"/>
      <c r="I3" s="537"/>
      <c r="J3" s="537"/>
    </row>
    <row r="4" spans="1:14" ht="15" x14ac:dyDescent="0.25">
      <c r="A4" s="519" t="s">
        <v>27</v>
      </c>
      <c r="B4" s="538" t="s">
        <v>3</v>
      </c>
      <c r="C4" s="535" t="s">
        <v>652</v>
      </c>
      <c r="D4" s="535"/>
      <c r="E4" s="535"/>
      <c r="F4" s="535"/>
      <c r="G4" s="535" t="s">
        <v>653</v>
      </c>
      <c r="H4" s="535"/>
      <c r="I4" s="535"/>
      <c r="J4" s="535"/>
    </row>
    <row r="5" spans="1:14" ht="15" x14ac:dyDescent="0.25">
      <c r="A5" s="539"/>
      <c r="B5" s="538"/>
      <c r="C5" s="191" t="s">
        <v>45</v>
      </c>
      <c r="D5" s="191" t="s">
        <v>47</v>
      </c>
      <c r="E5" s="191" t="s">
        <v>49</v>
      </c>
      <c r="F5" s="191" t="s">
        <v>41</v>
      </c>
      <c r="G5" s="191" t="s">
        <v>45</v>
      </c>
      <c r="H5" s="191" t="s">
        <v>47</v>
      </c>
      <c r="I5" s="191" t="s">
        <v>49</v>
      </c>
      <c r="J5" s="191" t="s">
        <v>41</v>
      </c>
    </row>
    <row r="6" spans="1:14" ht="15" x14ac:dyDescent="0.25">
      <c r="A6" s="520"/>
      <c r="B6" s="538"/>
      <c r="C6" s="191" t="s">
        <v>46</v>
      </c>
      <c r="D6" s="191" t="s">
        <v>48</v>
      </c>
      <c r="E6" s="191" t="s">
        <v>50</v>
      </c>
      <c r="F6" s="191" t="s">
        <v>51</v>
      </c>
      <c r="G6" s="191" t="s">
        <v>46</v>
      </c>
      <c r="H6" s="191" t="s">
        <v>48</v>
      </c>
      <c r="I6" s="191" t="s">
        <v>50</v>
      </c>
      <c r="J6" s="191" t="s">
        <v>51</v>
      </c>
    </row>
    <row r="7" spans="1:14" ht="16.5" x14ac:dyDescent="0.3">
      <c r="A7" s="71"/>
      <c r="B7" s="73"/>
      <c r="C7" s="67"/>
      <c r="D7" s="67"/>
      <c r="E7" s="67"/>
      <c r="F7" s="74"/>
      <c r="G7" s="67"/>
      <c r="H7" s="67"/>
      <c r="I7" s="67"/>
      <c r="J7" s="74"/>
    </row>
    <row r="8" spans="1:14" ht="16.5" x14ac:dyDescent="0.3">
      <c r="A8" s="105" t="s">
        <v>55</v>
      </c>
      <c r="B8" s="73" t="s">
        <v>52</v>
      </c>
      <c r="C8" s="132"/>
      <c r="D8" s="132"/>
      <c r="E8" s="132"/>
      <c r="F8" s="302"/>
      <c r="G8" s="132"/>
      <c r="H8" s="132"/>
      <c r="I8" s="132"/>
      <c r="J8" s="74"/>
    </row>
    <row r="9" spans="1:14" ht="16.5" x14ac:dyDescent="0.3">
      <c r="A9" s="105"/>
      <c r="B9" s="73" t="s">
        <v>53</v>
      </c>
      <c r="C9" s="132">
        <f>15+1</f>
        <v>16</v>
      </c>
      <c r="D9" s="373">
        <f>+'[4]Purchase&amp;Sales - Phase II&amp;III'!$D$17+'[4]Purchase&amp;Sales - Phase I'!$D$17</f>
        <v>20064906</v>
      </c>
      <c r="E9" s="205">
        <f>+[4]Sheet1!$B$33-'[4]Purchase&amp;Sales - Phase I'!$C$36-'[4]Purchase&amp;Sales - Phase I'!$E$36-'[4]Purchase&amp;Sales - Phase II&amp;III'!$C$36-'[4]Purchase&amp;Sales - Phase II&amp;III'!$E$36</f>
        <v>131774679.27929999</v>
      </c>
      <c r="F9" s="428">
        <f>+E9/D9</f>
        <v>6.5674207135234024</v>
      </c>
      <c r="G9" s="132">
        <v>18</v>
      </c>
      <c r="H9" s="373">
        <v>26471384.399999999</v>
      </c>
      <c r="I9" s="205">
        <v>158295000</v>
      </c>
      <c r="J9" s="428">
        <f>+I9/H9</f>
        <v>5.9798534752870731</v>
      </c>
      <c r="L9" s="3">
        <f>+'[4]Purchase&amp;Sales - Phase II&amp;III'!$C$37+'[4]Purchase&amp;Sales - Phase II&amp;III'!$C$36+'[4]Purchase&amp;Sales - Phase I'!$C$36+'[4]Purchase&amp;Sales - Phase I'!$C$37</f>
        <v>23173382.541328244</v>
      </c>
      <c r="M9" t="s">
        <v>38</v>
      </c>
    </row>
    <row r="10" spans="1:14" ht="16.5" x14ac:dyDescent="0.3">
      <c r="A10" s="105"/>
      <c r="B10" s="73" t="s">
        <v>142</v>
      </c>
      <c r="C10" s="132">
        <f>359+11</f>
        <v>370</v>
      </c>
      <c r="D10" s="373">
        <f>+'[6]Purchase&amp;Sales - Phase I'!$M$17+'[6]Purchase&amp;Sales - Phase II&amp;III'!$M$17</f>
        <v>40175967.223499991</v>
      </c>
      <c r="E10" s="205">
        <f>+[4]Sheet1!$C$33-'[4]Purchase&amp;Sales - Phase I'!$C$37-'[4]Purchase&amp;Sales - Phase II&amp;III'!$C$37-'[1]Balacnesheet P&amp;L'!$D$86+150-6770</f>
        <v>252022843.48587176</v>
      </c>
      <c r="F10" s="428">
        <f>+E10/D10</f>
        <v>6.2729751366995563</v>
      </c>
      <c r="G10" s="132">
        <v>426</v>
      </c>
      <c r="H10" s="373">
        <v>51335789</v>
      </c>
      <c r="I10" s="205">
        <v>286725000</v>
      </c>
      <c r="J10" s="428">
        <f>+I10/H10</f>
        <v>5.5852847610854877</v>
      </c>
      <c r="L10" s="3">
        <f>+'[4]Purchase&amp;Sales - Phase II&amp;III'!$C$36+'[4]Purchase&amp;Sales - Phase I'!$C$36</f>
        <v>2166850.8972</v>
      </c>
      <c r="M10" t="s">
        <v>77</v>
      </c>
      <c r="N10">
        <v>2197474.2799999998</v>
      </c>
    </row>
    <row r="11" spans="1:14" ht="16.5" x14ac:dyDescent="0.3">
      <c r="A11" s="105"/>
      <c r="B11" s="144" t="s">
        <v>375</v>
      </c>
      <c r="C11" s="132"/>
      <c r="D11" s="373">
        <f>+'[4]Street Lgiht&amp;Self'!$D$16+'[4]Street Lgiht&amp;Self'!$K$16</f>
        <v>887176.4</v>
      </c>
      <c r="E11" s="204">
        <f>+'[1]Balacnesheet P&amp;L'!$D$82</f>
        <v>6566980.6399999997</v>
      </c>
      <c r="F11" s="428">
        <f>+E11/D11</f>
        <v>7.4021137622686979</v>
      </c>
      <c r="G11" s="132">
        <v>4</v>
      </c>
      <c r="H11" s="373">
        <v>532560</v>
      </c>
      <c r="I11" s="204">
        <v>6007000</v>
      </c>
      <c r="J11" s="428"/>
      <c r="L11" s="3">
        <f>+L9-L10</f>
        <v>21006531.644128244</v>
      </c>
      <c r="M11" t="s">
        <v>622</v>
      </c>
      <c r="N11">
        <v>21099179.18</v>
      </c>
    </row>
    <row r="12" spans="1:14" ht="16.5" x14ac:dyDescent="0.3">
      <c r="A12" s="105" t="s">
        <v>54</v>
      </c>
      <c r="B12" s="73" t="s">
        <v>56</v>
      </c>
      <c r="C12" s="132"/>
      <c r="D12" s="132"/>
      <c r="E12" s="132"/>
      <c r="F12" s="302"/>
      <c r="G12" s="132"/>
      <c r="H12" s="132"/>
      <c r="I12" s="132"/>
      <c r="J12" s="302"/>
    </row>
    <row r="13" spans="1:14" ht="16.5" x14ac:dyDescent="0.3">
      <c r="A13" s="105"/>
      <c r="B13" s="73" t="s">
        <v>78</v>
      </c>
      <c r="C13" s="455"/>
      <c r="D13" s="455"/>
      <c r="E13" s="204">
        <f>+'[4]Purchase&amp;Sales - Phase I'!$C$36+'[4]Purchase&amp;Sales - Phase I'!$C$37+'[4]Purchase&amp;Sales - Phase II&amp;III'!$C$36+'[4]Purchase&amp;Sales - Phase II&amp;III'!$C$37+6770</f>
        <v>23180152.541328244</v>
      </c>
      <c r="F13" s="302"/>
      <c r="G13" s="455"/>
      <c r="H13" s="132"/>
      <c r="I13" s="204">
        <v>31060000</v>
      </c>
      <c r="J13" s="302"/>
      <c r="L13">
        <v>485940.65</v>
      </c>
    </row>
    <row r="14" spans="1:14" ht="16.5" x14ac:dyDescent="0.3">
      <c r="A14" s="105"/>
      <c r="B14" s="420" t="s">
        <v>593</v>
      </c>
      <c r="C14" s="67"/>
      <c r="D14" s="67"/>
      <c r="E14" s="123">
        <f>+'[4]Purchase&amp;Sales - Phase I'!$E$36+'[4]Purchase&amp;Sales - Phase II&amp;III'!$E$36</f>
        <v>478918.82350000006</v>
      </c>
      <c r="F14" s="74"/>
      <c r="G14" s="67"/>
      <c r="H14" s="67"/>
      <c r="I14" s="123" t="s">
        <v>17</v>
      </c>
      <c r="J14" s="74"/>
    </row>
    <row r="15" spans="1:14" ht="16.5" x14ac:dyDescent="0.3">
      <c r="A15" s="105" t="s">
        <v>57</v>
      </c>
      <c r="B15" s="73" t="s">
        <v>58</v>
      </c>
      <c r="C15" s="67"/>
      <c r="D15" s="67"/>
      <c r="E15" s="105" t="s">
        <v>17</v>
      </c>
      <c r="F15" s="74"/>
      <c r="G15" s="67"/>
      <c r="H15" s="67"/>
      <c r="I15" s="105"/>
      <c r="J15" s="74"/>
    </row>
    <row r="16" spans="1:14" ht="16.5" x14ac:dyDescent="0.3">
      <c r="A16" s="105" t="s">
        <v>59</v>
      </c>
      <c r="B16" s="73" t="s">
        <v>60</v>
      </c>
      <c r="C16" s="67"/>
      <c r="D16" s="67"/>
      <c r="E16" s="206">
        <f>+'[1]Balacnesheet P&amp;L'!$D$85</f>
        <v>56027</v>
      </c>
      <c r="F16" s="74"/>
      <c r="G16" s="67"/>
      <c r="H16" s="67"/>
      <c r="I16" s="206" t="s">
        <v>17</v>
      </c>
      <c r="J16" s="74"/>
    </row>
    <row r="17" spans="1:11" ht="16.5" x14ac:dyDescent="0.3">
      <c r="A17" s="105"/>
      <c r="B17" s="73" t="s">
        <v>61</v>
      </c>
      <c r="C17" s="67"/>
      <c r="D17" s="67"/>
      <c r="E17" s="105" t="s">
        <v>17</v>
      </c>
      <c r="F17" s="74"/>
      <c r="G17" s="67"/>
      <c r="H17" s="67"/>
      <c r="I17" s="105" t="s">
        <v>17</v>
      </c>
      <c r="J17" s="74"/>
    </row>
    <row r="18" spans="1:11" ht="16.5" x14ac:dyDescent="0.3">
      <c r="A18" s="105"/>
      <c r="B18" s="73" t="s">
        <v>62</v>
      </c>
      <c r="C18" s="67"/>
      <c r="D18" s="67"/>
      <c r="E18" s="105" t="s">
        <v>17</v>
      </c>
      <c r="F18" s="74"/>
      <c r="G18" s="67">
        <v>10</v>
      </c>
      <c r="H18" s="67">
        <v>303360</v>
      </c>
      <c r="I18" s="105">
        <v>834000</v>
      </c>
      <c r="J18" s="74"/>
    </row>
    <row r="19" spans="1:11" ht="16.5" x14ac:dyDescent="0.3">
      <c r="A19" s="105"/>
      <c r="B19" s="73" t="s">
        <v>63</v>
      </c>
      <c r="C19" s="67"/>
      <c r="D19" s="123">
        <f>+'[4]Street Lgiht&amp;Self'!$D$32</f>
        <v>174518</v>
      </c>
      <c r="E19" s="206">
        <f>+'[1]Balacnesheet P&amp;L'!$D$83</f>
        <v>900841.8</v>
      </c>
      <c r="F19" s="199">
        <f>+E19/D19</f>
        <v>5.1618847339529452</v>
      </c>
      <c r="G19" s="67"/>
      <c r="H19" s="123"/>
      <c r="I19" s="206" t="s">
        <v>17</v>
      </c>
      <c r="J19" s="199"/>
    </row>
    <row r="20" spans="1:11" ht="16.5" x14ac:dyDescent="0.3">
      <c r="A20" s="105"/>
      <c r="B20" s="73" t="s">
        <v>64</v>
      </c>
      <c r="C20" s="67"/>
      <c r="D20" s="67"/>
      <c r="E20" s="105" t="s">
        <v>17</v>
      </c>
      <c r="F20" s="74"/>
      <c r="G20" s="67"/>
      <c r="H20" s="67"/>
      <c r="I20" s="105" t="s">
        <v>17</v>
      </c>
      <c r="J20" s="74"/>
    </row>
    <row r="21" spans="1:11" ht="16.5" x14ac:dyDescent="0.3">
      <c r="A21" s="105"/>
      <c r="B21" s="73" t="s">
        <v>65</v>
      </c>
      <c r="C21" s="67"/>
      <c r="D21" s="67"/>
      <c r="E21" s="105" t="s">
        <v>17</v>
      </c>
      <c r="F21" s="74"/>
      <c r="G21" s="67"/>
      <c r="H21" s="67"/>
      <c r="I21" s="105">
        <v>500000</v>
      </c>
      <c r="J21" s="74"/>
    </row>
    <row r="22" spans="1:11" ht="16.5" x14ac:dyDescent="0.3">
      <c r="A22" s="105"/>
      <c r="B22" s="73" t="s">
        <v>66</v>
      </c>
      <c r="C22" s="67"/>
      <c r="D22" s="67"/>
      <c r="E22" s="206">
        <f>+'[1]Balacnesheet P&amp;L'!$D$84</f>
        <v>1062462</v>
      </c>
      <c r="F22" s="74"/>
      <c r="G22" s="67"/>
      <c r="H22" s="67"/>
      <c r="I22" s="206">
        <v>0</v>
      </c>
      <c r="J22" s="74"/>
    </row>
    <row r="23" spans="1:11" ht="16.5" x14ac:dyDescent="0.3">
      <c r="A23" s="105"/>
      <c r="B23" s="73" t="s">
        <v>67</v>
      </c>
      <c r="C23" s="67"/>
      <c r="D23" s="67"/>
      <c r="E23" s="206">
        <f>+'[1]Balacnesheet P&amp;L'!$D$86</f>
        <v>834598</v>
      </c>
      <c r="F23" s="74"/>
      <c r="G23" s="67"/>
      <c r="H23" s="67"/>
      <c r="I23" s="206" t="s">
        <v>17</v>
      </c>
      <c r="J23" s="74"/>
    </row>
    <row r="24" spans="1:11" ht="16.5" x14ac:dyDescent="0.3">
      <c r="A24" s="105"/>
      <c r="B24" s="73" t="s">
        <v>68</v>
      </c>
      <c r="C24" s="67"/>
      <c r="D24" s="67"/>
      <c r="E24" s="105" t="s">
        <v>17</v>
      </c>
      <c r="F24" s="74"/>
      <c r="G24" s="67"/>
      <c r="H24" s="67"/>
      <c r="I24" s="105" t="s">
        <v>17</v>
      </c>
      <c r="J24" s="74"/>
    </row>
    <row r="25" spans="1:11" ht="30.75" x14ac:dyDescent="0.3">
      <c r="A25" s="105" t="s">
        <v>69</v>
      </c>
      <c r="B25" s="333" t="s">
        <v>556</v>
      </c>
      <c r="C25" s="67">
        <f>SUM(C9:C24)</f>
        <v>386</v>
      </c>
      <c r="D25" s="187"/>
      <c r="E25" s="125">
        <f>SUM(E9:E24)</f>
        <v>416877503.56999999</v>
      </c>
      <c r="F25" s="74"/>
      <c r="G25" s="67">
        <f>SUM(G9:G24)</f>
        <v>458</v>
      </c>
      <c r="H25" s="67"/>
      <c r="I25" s="125">
        <f>SUM(I9:I24)</f>
        <v>483421000</v>
      </c>
      <c r="J25" s="74"/>
    </row>
    <row r="26" spans="1:11" ht="16.5" x14ac:dyDescent="0.3">
      <c r="A26" s="105" t="s">
        <v>71</v>
      </c>
      <c r="B26" s="114" t="s">
        <v>72</v>
      </c>
      <c r="C26" s="67"/>
      <c r="D26" s="67"/>
      <c r="E26" s="67"/>
      <c r="F26" s="74"/>
      <c r="G26" s="67"/>
      <c r="H26" s="67"/>
      <c r="I26" s="67"/>
      <c r="J26" s="74"/>
    </row>
    <row r="27" spans="1:11" ht="16.5" x14ac:dyDescent="0.3">
      <c r="A27" s="105"/>
      <c r="B27" s="73" t="s">
        <v>73</v>
      </c>
      <c r="C27" s="67"/>
      <c r="D27" s="67"/>
      <c r="E27" s="187">
        <f>+E13+E14</f>
        <v>23659071.364828244</v>
      </c>
      <c r="F27" s="74"/>
      <c r="G27" s="67"/>
      <c r="H27" s="67"/>
      <c r="I27" s="187">
        <f>+I13</f>
        <v>31060000</v>
      </c>
      <c r="J27" s="74"/>
      <c r="K27" s="452" t="s">
        <v>607</v>
      </c>
    </row>
    <row r="28" spans="1:11" ht="16.5" x14ac:dyDescent="0.3">
      <c r="A28" s="105"/>
      <c r="B28" s="73" t="s">
        <v>594</v>
      </c>
      <c r="C28" s="67"/>
      <c r="D28" s="67"/>
      <c r="E28" s="187">
        <v>0</v>
      </c>
      <c r="F28" s="74"/>
      <c r="G28" s="67"/>
      <c r="H28" s="67"/>
      <c r="I28" s="105" t="s">
        <v>17</v>
      </c>
      <c r="J28" s="74"/>
    </row>
    <row r="29" spans="1:11" ht="16.5" x14ac:dyDescent="0.3">
      <c r="A29" s="105" t="s">
        <v>70</v>
      </c>
      <c r="B29" s="73" t="s">
        <v>557</v>
      </c>
      <c r="C29" s="67"/>
      <c r="D29" s="67"/>
      <c r="E29" s="105" t="s">
        <v>17</v>
      </c>
      <c r="F29" s="74"/>
      <c r="G29" s="67"/>
      <c r="H29" s="67"/>
      <c r="I29" s="105" t="s">
        <v>17</v>
      </c>
      <c r="J29" s="74"/>
    </row>
    <row r="30" spans="1:11" ht="16.5" x14ac:dyDescent="0.3">
      <c r="A30" s="105"/>
      <c r="B30" s="114" t="s">
        <v>74</v>
      </c>
      <c r="C30" s="67"/>
      <c r="D30" s="67"/>
      <c r="E30" s="125">
        <f>SUM(E27:E29)</f>
        <v>23659071.364828244</v>
      </c>
      <c r="F30" s="74"/>
      <c r="G30" s="67"/>
      <c r="H30" s="67"/>
      <c r="I30" s="125">
        <f>SUM(I27:I29)</f>
        <v>31060000</v>
      </c>
      <c r="J30" s="74"/>
    </row>
    <row r="31" spans="1:11" ht="16.5" x14ac:dyDescent="0.3">
      <c r="A31" s="105"/>
      <c r="B31" s="73"/>
      <c r="C31" s="67"/>
      <c r="D31" s="67"/>
      <c r="E31" s="123"/>
      <c r="F31" s="74"/>
      <c r="G31" s="67"/>
      <c r="H31" s="67"/>
      <c r="I31" s="123"/>
      <c r="J31" s="74"/>
    </row>
    <row r="32" spans="1:11" ht="16.5" x14ac:dyDescent="0.3">
      <c r="A32" s="105" t="s">
        <v>75</v>
      </c>
      <c r="B32" s="114" t="s">
        <v>558</v>
      </c>
      <c r="C32" s="67"/>
      <c r="D32" s="67"/>
      <c r="E32" s="125">
        <f>E25-E30</f>
        <v>393218432.20517176</v>
      </c>
      <c r="F32" s="74"/>
      <c r="G32" s="67"/>
      <c r="H32" s="67"/>
      <c r="I32" s="125">
        <f>I25-I30</f>
        <v>452361000</v>
      </c>
      <c r="J32" s="74"/>
    </row>
    <row r="33" spans="1:10" ht="16.5" x14ac:dyDescent="0.3">
      <c r="A33" s="106"/>
      <c r="B33" s="70"/>
      <c r="C33" s="69"/>
      <c r="D33" s="69"/>
      <c r="E33" s="69"/>
      <c r="F33" s="69"/>
      <c r="G33" s="69"/>
      <c r="H33" s="69"/>
      <c r="I33" s="69"/>
      <c r="J33" s="69"/>
    </row>
    <row r="34" spans="1:10" ht="1.5" customHeight="1" x14ac:dyDescent="0.3">
      <c r="A34" s="63"/>
      <c r="B34" s="63"/>
      <c r="C34" s="63"/>
      <c r="D34" s="63"/>
      <c r="E34" s="63"/>
      <c r="F34" s="63"/>
    </row>
    <row r="35" spans="1:10" ht="16.5" x14ac:dyDescent="0.3">
      <c r="A35" s="63"/>
      <c r="B35" s="63"/>
      <c r="C35" s="63"/>
      <c r="D35" s="63"/>
      <c r="E35" s="63"/>
      <c r="F35" s="63"/>
    </row>
    <row r="36" spans="1:10" ht="16.5" x14ac:dyDescent="0.3">
      <c r="A36" s="63"/>
      <c r="B36" s="63"/>
      <c r="C36" s="63"/>
      <c r="D36" s="63"/>
      <c r="E36" s="349"/>
      <c r="F36" s="63"/>
    </row>
    <row r="37" spans="1:10" ht="16.5" x14ac:dyDescent="0.3">
      <c r="A37" s="63"/>
      <c r="B37" s="63"/>
      <c r="C37" s="63"/>
      <c r="D37" s="63"/>
      <c r="E37" s="63"/>
      <c r="F37" s="63"/>
    </row>
    <row r="38" spans="1:10" ht="16.5" x14ac:dyDescent="0.3">
      <c r="A38" s="350" t="s">
        <v>678</v>
      </c>
      <c r="E38" s="63"/>
      <c r="G38" s="63"/>
      <c r="H38" s="353"/>
      <c r="J38" s="351" t="s">
        <v>606</v>
      </c>
    </row>
    <row r="39" spans="1:10" ht="16.5" x14ac:dyDescent="0.3">
      <c r="A39" s="114" t="s">
        <v>679</v>
      </c>
      <c r="E39" s="63"/>
      <c r="G39" s="63"/>
      <c r="H39" s="354"/>
      <c r="J39" s="352" t="s">
        <v>604</v>
      </c>
    </row>
    <row r="45" spans="1:10" ht="15" x14ac:dyDescent="0.25">
      <c r="A45" s="350" t="s">
        <v>650</v>
      </c>
      <c r="B45" s="7"/>
      <c r="C45" s="17"/>
      <c r="J45" s="449" t="s">
        <v>605</v>
      </c>
    </row>
    <row r="46" spans="1:10" ht="15.75" x14ac:dyDescent="0.3">
      <c r="A46" s="114" t="s">
        <v>480</v>
      </c>
      <c r="B46" s="7"/>
      <c r="C46" s="17"/>
      <c r="J46" s="450"/>
    </row>
    <row r="47" spans="1:10" ht="15.75" x14ac:dyDescent="0.3">
      <c r="A47" s="1"/>
      <c r="B47" s="1"/>
      <c r="C47" s="1"/>
      <c r="D47" s="1"/>
      <c r="E47" s="1"/>
      <c r="J47" s="450"/>
    </row>
    <row r="48" spans="1:10" ht="15" x14ac:dyDescent="0.25">
      <c r="A48" s="1"/>
      <c r="B48" s="1"/>
      <c r="C48" s="1"/>
      <c r="D48" s="1"/>
      <c r="E48" s="1"/>
      <c r="J48" s="449"/>
    </row>
    <row r="49" spans="1:10" ht="15.75" x14ac:dyDescent="0.3">
      <c r="A49" s="34" t="s">
        <v>410</v>
      </c>
      <c r="B49" s="1"/>
      <c r="C49" s="1"/>
      <c r="D49" s="1"/>
      <c r="E49" s="1"/>
      <c r="J49" s="450"/>
    </row>
    <row r="50" spans="1:10" ht="15.75" x14ac:dyDescent="0.3">
      <c r="A50" s="255" t="s">
        <v>677</v>
      </c>
      <c r="B50" s="1"/>
      <c r="C50" s="1"/>
      <c r="D50" s="1"/>
      <c r="E50" s="1"/>
      <c r="J50" s="450"/>
    </row>
    <row r="51" spans="1:10" x14ac:dyDescent="0.2">
      <c r="A51" s="1"/>
      <c r="B51" s="1"/>
      <c r="C51" s="1"/>
      <c r="D51" s="1"/>
      <c r="E51" s="1"/>
    </row>
    <row r="52" spans="1:10" x14ac:dyDescent="0.2">
      <c r="A52" s="1"/>
      <c r="B52" s="1"/>
      <c r="C52" s="1"/>
      <c r="D52" s="1"/>
      <c r="E52" s="1"/>
    </row>
    <row r="53" spans="1:10" x14ac:dyDescent="0.2">
      <c r="A53" s="1"/>
      <c r="B53" s="1"/>
      <c r="C53" s="1"/>
      <c r="D53" s="1"/>
      <c r="E53" s="1"/>
    </row>
    <row r="54" spans="1:10" x14ac:dyDescent="0.2">
      <c r="A54" s="1"/>
      <c r="B54" s="1"/>
      <c r="C54" s="1"/>
      <c r="D54" s="1"/>
      <c r="E54" s="1"/>
    </row>
    <row r="55" spans="1:10" x14ac:dyDescent="0.2">
      <c r="A55" s="1"/>
      <c r="B55" s="1"/>
      <c r="C55" s="1"/>
      <c r="D55" s="1"/>
      <c r="E55" s="1"/>
    </row>
    <row r="56" spans="1:10" x14ac:dyDescent="0.2">
      <c r="A56" s="1"/>
      <c r="B56" s="1"/>
      <c r="C56" s="1"/>
      <c r="D56" s="1"/>
      <c r="E56" s="1"/>
    </row>
    <row r="57" spans="1:10" x14ac:dyDescent="0.2">
      <c r="A57" s="1"/>
      <c r="B57" s="1"/>
      <c r="C57" s="1"/>
      <c r="D57" s="1"/>
      <c r="E57" s="1"/>
      <c r="F57" s="1"/>
    </row>
    <row r="58" spans="1:10" x14ac:dyDescent="0.2">
      <c r="A58" s="1"/>
      <c r="B58" s="1"/>
      <c r="C58" s="1"/>
      <c r="D58" s="1"/>
      <c r="E58" s="1"/>
      <c r="F58" s="1"/>
    </row>
    <row r="59" spans="1:10" x14ac:dyDescent="0.2">
      <c r="A59" s="1"/>
      <c r="B59" s="1"/>
      <c r="C59" s="1"/>
      <c r="D59" s="1"/>
      <c r="E59" s="1"/>
    </row>
    <row r="61" spans="1:10" x14ac:dyDescent="0.2">
      <c r="E61" s="2"/>
    </row>
  </sheetData>
  <mergeCells count="6">
    <mergeCell ref="C4:F4"/>
    <mergeCell ref="A1:J1"/>
    <mergeCell ref="A3:J3"/>
    <mergeCell ref="B4:B6"/>
    <mergeCell ref="A4:A6"/>
    <mergeCell ref="G4:J4"/>
  </mergeCells>
  <phoneticPr fontId="0" type="noConversion"/>
  <printOptions horizontalCentered="1" verticalCentered="1"/>
  <pageMargins left="0.48" right="0.59" top="0.25" bottom="0.36" header="0.2" footer="0.25"/>
  <pageSetup paperSize="9" scale="6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24</vt:i4>
      </vt:variant>
    </vt:vector>
  </HeadingPairs>
  <TitlesOfParts>
    <vt:vector size="54" baseType="lpstr">
      <vt:lpstr>Contents</vt:lpstr>
      <vt:lpstr>Form B</vt:lpstr>
      <vt:lpstr>Form C</vt:lpstr>
      <vt:lpstr>Form C (2)</vt:lpstr>
      <vt:lpstr>Form D</vt:lpstr>
      <vt:lpstr>Form E</vt:lpstr>
      <vt:lpstr>Calcu-ROI</vt:lpstr>
      <vt:lpstr>Form F</vt:lpstr>
      <vt:lpstr>Form G</vt:lpstr>
      <vt:lpstr>Form H</vt:lpstr>
      <vt:lpstr>Form I</vt:lpstr>
      <vt:lpstr>Form J</vt:lpstr>
      <vt:lpstr>Form K</vt:lpstr>
      <vt:lpstr>Form L</vt:lpstr>
      <vt:lpstr>Form M</vt:lpstr>
      <vt:lpstr>Form N</vt:lpstr>
      <vt:lpstr>Form O</vt:lpstr>
      <vt:lpstr>Form P</vt:lpstr>
      <vt:lpstr>Form Q</vt:lpstr>
      <vt:lpstr>Form R</vt:lpstr>
      <vt:lpstr>Form S</vt:lpstr>
      <vt:lpstr>Form T</vt:lpstr>
      <vt:lpstr>Form U</vt:lpstr>
      <vt:lpstr>Form V</vt:lpstr>
      <vt:lpstr>Form W</vt:lpstr>
      <vt:lpstr>Form W1</vt:lpstr>
      <vt:lpstr>Form X</vt:lpstr>
      <vt:lpstr>Form Y</vt:lpstr>
      <vt:lpstr>Form Z</vt:lpstr>
      <vt:lpstr>Sheet1</vt:lpstr>
      <vt:lpstr>'Calcu-ROI'!Print_Area</vt:lpstr>
      <vt:lpstr>Contents!Print_Area</vt:lpstr>
      <vt:lpstr>'Form B'!Print_Area</vt:lpstr>
      <vt:lpstr>'Form C (2)'!Print_Area</vt:lpstr>
      <vt:lpstr>'Form D'!Print_Area</vt:lpstr>
      <vt:lpstr>'Form F'!Print_Area</vt:lpstr>
      <vt:lpstr>'Form G'!Print_Area</vt:lpstr>
      <vt:lpstr>'Form I'!Print_Area</vt:lpstr>
      <vt:lpstr>'Form J'!Print_Area</vt:lpstr>
      <vt:lpstr>'Form K'!Print_Area</vt:lpstr>
      <vt:lpstr>'Form L'!Print_Area</vt:lpstr>
      <vt:lpstr>'Form M'!Print_Area</vt:lpstr>
      <vt:lpstr>'Form N'!Print_Area</vt:lpstr>
      <vt:lpstr>'Form O'!Print_Area</vt:lpstr>
      <vt:lpstr>'Form P'!Print_Area</vt:lpstr>
      <vt:lpstr>'Form Q'!Print_Area</vt:lpstr>
      <vt:lpstr>'Form R'!Print_Area</vt:lpstr>
      <vt:lpstr>'Form U'!Print_Area</vt:lpstr>
      <vt:lpstr>'Form V'!Print_Area</vt:lpstr>
      <vt:lpstr>'Form W'!Print_Area</vt:lpstr>
      <vt:lpstr>'Form W1'!Print_Area</vt:lpstr>
      <vt:lpstr>'Form Y'!Print_Area</vt:lpstr>
      <vt:lpstr>'Form Z'!Print_Area</vt:lpstr>
      <vt:lpstr>'Form D'!Print_Titles</vt:lpstr>
    </vt:vector>
  </TitlesOfParts>
  <Company>TECHNOPARK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Joseph</dc:creator>
  <cp:lastModifiedBy>viswam</cp:lastModifiedBy>
  <cp:lastPrinted>2016-06-01T04:40:37Z</cp:lastPrinted>
  <dcterms:created xsi:type="dcterms:W3CDTF">2004-05-28T03:57:03Z</dcterms:created>
  <dcterms:modified xsi:type="dcterms:W3CDTF">2016-07-12T10:11:54Z</dcterms:modified>
</cp:coreProperties>
</file>